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už" sheetId="1" r:id="rId1"/>
    <sheet name="100ci" sheetId="2" r:id="rId2"/>
    <sheet name="100ky" sheetId="3" r:id="rId3"/>
    <sheet name="Družstva" sheetId="4" r:id="rId4"/>
    <sheet name="dvoj_ci" sheetId="5" r:id="rId5"/>
    <sheet name="dvoj_ky" sheetId="6" r:id="rId6"/>
    <sheet name="Jedn_ci" sheetId="7" r:id="rId7"/>
    <sheet name="Jedn_ky" sheetId="8" r:id="rId8"/>
  </sheets>
  <definedNames/>
  <calcPr fullCalcOnLoad="1"/>
</workbook>
</file>

<file path=xl/sharedStrings.xml><?xml version="1.0" encoding="utf-8"?>
<sst xmlns="http://schemas.openxmlformats.org/spreadsheetml/2006/main" count="542" uniqueCount="144">
  <si>
    <t>Celkové výsledky</t>
  </si>
  <si>
    <t>Okresní kolo dorostu</t>
  </si>
  <si>
    <t>8. 5. 2010 Kostelec n. Č. L.</t>
  </si>
  <si>
    <t>Dorci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</si>
  <si>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</si>
  <si>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</si>
  <si>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</si>
  <si>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</si>
  <si>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</si>
  <si>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</si>
  <si>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</si>
  <si>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</si>
  <si>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</si>
  <si>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</si>
  <si>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</si>
  <si>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</si>
  <si>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</si>
  <si>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</si>
  <si>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</si>
  <si>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</si>
  <si>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Uhlířské Janovice</t>
  </si>
  <si>
    <t>KH</t>
  </si>
  <si>
    <t>0</t>
  </si>
  <si>
    <t>Klučov</t>
  </si>
  <si>
    <t>KO</t>
  </si>
  <si>
    <t>NP</t>
  </si>
  <si>
    <t>Církvice</t>
  </si>
  <si>
    <t>Žleby</t>
  </si>
  <si>
    <t>Dorky</t>
  </si>
  <si>
    <t>Horka II</t>
  </si>
  <si>
    <t>Kostelec n. Černými Lesy</t>
  </si>
  <si>
    <t>100 metrů s překážkami dorci</t>
  </si>
  <si>
    <t>8. 5. 2010 Kostelec n. Č.L.</t>
  </si>
  <si>
    <t>Dorostenci</t>
  </si>
  <si>
    <t>St. Číslo</t>
  </si>
  <si>
    <t>Příjmení a jméno</t>
  </si>
  <si>
    <t>SDH</t>
  </si>
  <si>
    <t>čas. 1 kola</t>
  </si>
  <si>
    <t>čas 2. kola</t>
  </si>
  <si>
    <t>výsledný čas</t>
  </si>
  <si>
    <t>pořadí</t>
  </si>
  <si>
    <t>Jedn</t>
  </si>
  <si>
    <t>Pořadí KO</t>
  </si>
  <si>
    <t>Pořadí KH</t>
  </si>
  <si>
    <t>Petrásek  Roman</t>
  </si>
  <si>
    <t>J</t>
  </si>
  <si>
    <t>Polívka  Lukáš</t>
  </si>
  <si>
    <t>Procházka  Martin</t>
  </si>
  <si>
    <t>Konečný  Vojtěch</t>
  </si>
  <si>
    <t>Stanke  Miroslav</t>
  </si>
  <si>
    <t>Kostelec nad Č.L.</t>
  </si>
  <si>
    <t>Bareš  Tomáš</t>
  </si>
  <si>
    <t>Měřička  Radek</t>
  </si>
  <si>
    <t>Vašek  Daniel</t>
  </si>
  <si>
    <t>Beránek  Václav</t>
  </si>
  <si>
    <t>Králík  Martin</t>
  </si>
  <si>
    <t>Močovice</t>
  </si>
  <si>
    <t>Pytloun  Roman</t>
  </si>
  <si>
    <t>Krejčí  Josef</t>
  </si>
  <si>
    <t>Holec  Jan</t>
  </si>
  <si>
    <t>Pecina  Jakub</t>
  </si>
  <si>
    <t>Blažek  Lukáš</t>
  </si>
  <si>
    <t>Novotný  Radek</t>
  </si>
  <si>
    <t>Pop  Martin</t>
  </si>
  <si>
    <t>Vácha  Jaromír</t>
  </si>
  <si>
    <t>Rakaš  Ludvík</t>
  </si>
  <si>
    <t>Petrásek  Martin</t>
  </si>
  <si>
    <t>Fillippi  Lukáš</t>
  </si>
  <si>
    <t>Ludra  David</t>
  </si>
  <si>
    <t>Stupnička  Michal</t>
  </si>
  <si>
    <t>Janovský  David</t>
  </si>
  <si>
    <t>Hrbek  Václav</t>
  </si>
  <si>
    <t>Benešovský  David</t>
  </si>
  <si>
    <t>Hrdý  Jakub</t>
  </si>
  <si>
    <t>Říha  Roman</t>
  </si>
  <si>
    <t>Plesnivý  Tomáš</t>
  </si>
  <si>
    <t>Protiva  Radek</t>
  </si>
  <si>
    <t>Žitňan  Luboš</t>
  </si>
  <si>
    <t>Chlád  Lukáš</t>
  </si>
  <si>
    <t>Šťastný  Jan</t>
  </si>
  <si>
    <t>Mrázek David</t>
  </si>
  <si>
    <t>100 metrů s překážkami dorky</t>
  </si>
  <si>
    <t>Dorostenky</t>
  </si>
  <si>
    <t>Žíželice</t>
  </si>
  <si>
    <t>Benešovská  Lenka</t>
  </si>
  <si>
    <t>Bechyňová Markéta</t>
  </si>
  <si>
    <t>Součková  Katka</t>
  </si>
  <si>
    <t>Kostelec n. Č. Lesy</t>
  </si>
  <si>
    <t>Mukařovská  Karolína</t>
  </si>
  <si>
    <t>Tvrdíková  Lucie</t>
  </si>
  <si>
    <t>Šámalová  Lucie</t>
  </si>
  <si>
    <t>Řípová  Tereza</t>
  </si>
  <si>
    <t>Kubátová Michaela</t>
  </si>
  <si>
    <t>Škarková  Markéta</t>
  </si>
  <si>
    <t>Sládková  Lucie</t>
  </si>
  <si>
    <t>Vlková  Alžběta</t>
  </si>
  <si>
    <t>P</t>
  </si>
  <si>
    <t>DNF</t>
  </si>
  <si>
    <t>Hyblerová  Barbora</t>
  </si>
  <si>
    <t>Nácovská  Veronika</t>
  </si>
  <si>
    <t>Koppová Aneta</t>
  </si>
  <si>
    <t>Hauptmanová  Gabriela</t>
  </si>
  <si>
    <t>Nácovská  Aneta</t>
  </si>
  <si>
    <t>Semerádová  Kristýna</t>
  </si>
  <si>
    <t>Studničková  Barbora</t>
  </si>
  <si>
    <t>1.</t>
  </si>
  <si>
    <t>2.</t>
  </si>
  <si>
    <t>3.</t>
  </si>
  <si>
    <t>4.</t>
  </si>
  <si>
    <t>5.</t>
  </si>
  <si>
    <t>6.</t>
  </si>
  <si>
    <t>7.</t>
  </si>
  <si>
    <t>počet</t>
  </si>
  <si>
    <t>součet 5(7)</t>
  </si>
  <si>
    <t>Dvojboj dorostenci</t>
  </si>
  <si>
    <t>8. 5. 2010 Kostelec nad Černými Lesy</t>
  </si>
  <si>
    <t>Petrásek Roman</t>
  </si>
  <si>
    <t>Procházka Martin</t>
  </si>
  <si>
    <t>Stanke Miroslav</t>
  </si>
  <si>
    <t>Kostelec n. Č.L.</t>
  </si>
  <si>
    <t>Králík Martin</t>
  </si>
  <si>
    <t>xxx</t>
  </si>
  <si>
    <t>Chlád Lukáš</t>
  </si>
  <si>
    <t xml:space="preserve"> Dvojboj dorostenky</t>
  </si>
  <si>
    <t>Celkové výsledky - TISK</t>
  </si>
  <si>
    <t>8. 5. 2010, Kostelec nad Černými Lesy</t>
  </si>
  <si>
    <t>Jednotlivci</t>
  </si>
  <si>
    <t>Jméno</t>
  </si>
  <si>
    <t>Běh na 100m s překážkami</t>
  </si>
  <si>
    <t>Dvojboj</t>
  </si>
  <si>
    <t xml:space="preserve"> Celk. součet bodů KO</t>
  </si>
  <si>
    <t xml:space="preserve"> Celk. součet bodů KH</t>
  </si>
  <si>
    <t>Celkové pořadí KO</t>
  </si>
  <si>
    <t>Celkové pořadí KH</t>
  </si>
  <si>
    <t>čas</t>
  </si>
  <si>
    <t>čas KO</t>
  </si>
  <si>
    <t>čas KH</t>
  </si>
  <si>
    <t>Poř KO</t>
  </si>
  <si>
    <t>Poř KH</t>
  </si>
  <si>
    <t>poř KO</t>
  </si>
  <si>
    <t>poř KH</t>
  </si>
  <si>
    <t>tr.b. KO</t>
  </si>
  <si>
    <t>tr.b. KH</t>
  </si>
  <si>
    <t>8. 5. 2010, Kostelec nad  Černými Lesy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</si>
</sst>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22">
    <font>
      <sz val="10"/>
      <name val="Arial"/>
      <family val="2"/>
    </font>
    <font>
      <sz val="20"/>
      <name val="Arial CE"/>
      <family val="2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1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Alignment="1" applyProtection="1">
      <alignment/>
      <protection hidden="1"/>
    </xf>
    <xf numFmtId="164" fontId="3" fillId="0" borderId="0" xfId="0" applyFont="1" applyFill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0" borderId="2" xfId="0" applyFont="1" applyBorder="1" applyAlignment="1" applyProtection="1">
      <alignment horizontal="center" vertical="center" textRotation="90"/>
      <protection hidden="1"/>
    </xf>
    <xf numFmtId="164" fontId="9" fillId="0" borderId="3" xfId="0" applyFont="1" applyBorder="1" applyAlignment="1" applyProtection="1">
      <alignment horizontal="center" vertical="center" textRotation="90" wrapText="1"/>
      <protection hidden="1"/>
    </xf>
    <xf numFmtId="164" fontId="9" fillId="0" borderId="4" xfId="0" applyFont="1" applyBorder="1" applyAlignment="1" applyProtection="1">
      <alignment horizontal="center" vertical="center" textRotation="90" wrapText="1"/>
      <protection hidden="1"/>
    </xf>
    <xf numFmtId="164" fontId="9" fillId="0" borderId="5" xfId="0" applyFont="1" applyBorder="1" applyAlignment="1" applyProtection="1">
      <alignment horizontal="center" vertical="center" textRotation="90" wrapText="1"/>
      <protection hidden="1"/>
    </xf>
    <xf numFmtId="164" fontId="9" fillId="0" borderId="1" xfId="0" applyFont="1" applyBorder="1" applyAlignment="1" applyProtection="1">
      <alignment horizontal="center" vertical="center" textRotation="90" wrapText="1"/>
      <protection hidden="1"/>
    </xf>
    <xf numFmtId="164" fontId="8" fillId="0" borderId="6" xfId="0" applyFont="1" applyBorder="1" applyAlignment="1" applyProtection="1">
      <alignment horizontal="center" vertical="center" textRotation="90"/>
      <protection hidden="1"/>
    </xf>
    <xf numFmtId="164" fontId="8" fillId="0" borderId="1" xfId="0" applyFont="1" applyBorder="1" applyAlignment="1" applyProtection="1">
      <alignment horizontal="center" vertical="center" textRotation="90"/>
      <protection hidden="1"/>
    </xf>
    <xf numFmtId="164" fontId="3" fillId="0" borderId="7" xfId="0" applyFont="1" applyBorder="1" applyAlignment="1" applyProtection="1">
      <alignment horizontal="center" vertical="center" textRotation="90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5" fillId="0" borderId="8" xfId="0" applyFont="1" applyBorder="1" applyAlignment="1" applyProtection="1">
      <alignment horizontal="center"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10" fillId="0" borderId="11" xfId="0" applyFont="1" applyBorder="1" applyAlignment="1" applyProtection="1">
      <alignment horizontal="center" vertical="center" wrapText="1"/>
      <protection hidden="1"/>
    </xf>
    <xf numFmtId="164" fontId="10" fillId="0" borderId="12" xfId="0" applyFont="1" applyBorder="1" applyAlignment="1" applyProtection="1">
      <alignment horizontal="center" vertical="center" wrapText="1"/>
      <protection hidden="1"/>
    </xf>
    <xf numFmtId="165" fontId="11" fillId="0" borderId="13" xfId="0" applyNumberFormat="1" applyFont="1" applyBorder="1" applyAlignment="1" applyProtection="1">
      <alignment horizontal="center" vertical="center"/>
      <protection hidden="1"/>
    </xf>
    <xf numFmtId="164" fontId="10" fillId="0" borderId="14" xfId="0" applyFont="1" applyBorder="1" applyAlignment="1" applyProtection="1">
      <alignment horizontal="center" vertical="center" wrapText="1"/>
      <protection hidden="1"/>
    </xf>
    <xf numFmtId="164" fontId="10" fillId="0" borderId="15" xfId="0" applyFont="1" applyBorder="1" applyAlignment="1" applyProtection="1">
      <alignment horizontal="center" vertical="center" wrapText="1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3" xfId="0" applyFont="1" applyBorder="1" applyAlignment="1" applyProtection="1">
      <alignment horizontal="left" vertical="center" wrapText="1" indent="1"/>
      <protection hidden="1"/>
    </xf>
    <xf numFmtId="164" fontId="5" fillId="0" borderId="3" xfId="0" applyFont="1" applyBorder="1" applyAlignment="1" applyProtection="1">
      <alignment horizontal="center" vertical="center" shrinkToFit="1"/>
      <protection hidden="1"/>
    </xf>
    <xf numFmtId="165" fontId="11" fillId="0" borderId="3" xfId="0" applyNumberFormat="1" applyFont="1" applyBorder="1" applyAlignment="1" applyProtection="1">
      <alignment horizontal="center" vertical="center"/>
      <protection hidden="1"/>
    </xf>
    <xf numFmtId="166" fontId="5" fillId="0" borderId="17" xfId="0" applyNumberFormat="1" applyFont="1" applyBorder="1" applyAlignment="1" applyProtection="1">
      <alignment horizontal="center" vertical="center"/>
      <protection hidden="1"/>
    </xf>
    <xf numFmtId="165" fontId="11" fillId="0" borderId="18" xfId="0" applyNumberFormat="1" applyFont="1" applyBorder="1" applyAlignment="1" applyProtection="1">
      <alignment horizontal="center" vertical="center"/>
      <protection hidden="1"/>
    </xf>
    <xf numFmtId="165" fontId="5" fillId="0" borderId="17" xfId="0" applyNumberFormat="1" applyFont="1" applyBorder="1" applyAlignment="1" applyProtection="1">
      <alignment horizontal="center" vertical="center"/>
      <protection hidden="1"/>
    </xf>
    <xf numFmtId="165" fontId="11" fillId="0" borderId="19" xfId="0" applyNumberFormat="1" applyFont="1" applyBorder="1" applyAlignment="1" applyProtection="1">
      <alignment horizontal="center" vertical="center"/>
      <protection hidden="1"/>
    </xf>
    <xf numFmtId="166" fontId="5" fillId="0" borderId="20" xfId="0" applyNumberFormat="1" applyFont="1" applyBorder="1" applyAlignment="1" applyProtection="1">
      <alignment horizontal="center" vertical="center"/>
      <protection hidden="1"/>
    </xf>
    <xf numFmtId="165" fontId="11" fillId="0" borderId="4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21" xfId="0" applyNumberFormat="1" applyFont="1" applyBorder="1" applyAlignment="1" applyProtection="1">
      <alignment horizontal="center" vertical="center"/>
      <protection hidden="1"/>
    </xf>
    <xf numFmtId="166" fontId="5" fillId="0" borderId="9" xfId="0" applyNumberFormat="1" applyFont="1" applyBorder="1" applyAlignment="1" applyProtection="1">
      <alignment horizontal="center" vertical="center"/>
      <protection hidden="1"/>
    </xf>
    <xf numFmtId="165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5" fillId="3" borderId="22" xfId="0" applyFont="1" applyFill="1" applyBorder="1" applyAlignment="1" applyProtection="1">
      <alignment horizontal="left" vertical="center" wrapText="1" indent="1"/>
      <protection hidden="1"/>
    </xf>
    <xf numFmtId="164" fontId="5" fillId="3" borderId="22" xfId="0" applyFont="1" applyFill="1" applyBorder="1" applyAlignment="1" applyProtection="1">
      <alignment horizontal="center" vertical="center" shrinkToFit="1"/>
      <protection hidden="1"/>
    </xf>
    <xf numFmtId="165" fontId="11" fillId="3" borderId="23" xfId="0" applyNumberFormat="1" applyFont="1" applyFill="1" applyBorder="1" applyAlignment="1" applyProtection="1">
      <alignment horizontal="center" vertical="center"/>
      <protection hidden="1"/>
    </xf>
    <xf numFmtId="166" fontId="5" fillId="3" borderId="20" xfId="0" applyNumberFormat="1" applyFont="1" applyFill="1" applyBorder="1" applyAlignment="1" applyProtection="1">
      <alignment horizontal="center" vertical="center"/>
      <protection hidden="1"/>
    </xf>
    <xf numFmtId="165" fontId="11" fillId="3" borderId="24" xfId="0" applyNumberFormat="1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 applyProtection="1">
      <alignment horizontal="center" vertical="center"/>
      <protection hidden="1"/>
    </xf>
    <xf numFmtId="165" fontId="11" fillId="3" borderId="25" xfId="0" applyNumberFormat="1" applyFont="1" applyFill="1" applyBorder="1" applyAlignment="1" applyProtection="1">
      <alignment horizontal="center" vertical="center"/>
      <protection hidden="1"/>
    </xf>
    <xf numFmtId="166" fontId="5" fillId="3" borderId="9" xfId="0" applyNumberFormat="1" applyFont="1" applyFill="1" applyBorder="1" applyAlignment="1" applyProtection="1">
      <alignment horizontal="center" vertical="center"/>
      <protection hidden="1"/>
    </xf>
    <xf numFmtId="165" fontId="11" fillId="3" borderId="22" xfId="0" applyNumberFormat="1" applyFont="1" applyFill="1" applyBorder="1" applyAlignment="1" applyProtection="1">
      <alignment horizontal="center" vertical="center"/>
      <protection hidden="1"/>
    </xf>
    <xf numFmtId="165" fontId="3" fillId="3" borderId="26" xfId="0" applyNumberFormat="1" applyFont="1" applyFill="1" applyBorder="1" applyAlignment="1" applyProtection="1">
      <alignment horizontal="center" vertical="center"/>
      <protection hidden="1"/>
    </xf>
    <xf numFmtId="165" fontId="4" fillId="3" borderId="27" xfId="0" applyNumberFormat="1" applyFont="1" applyFill="1" applyBorder="1" applyAlignment="1" applyProtection="1">
      <alignment horizontal="center" vertical="center"/>
      <protection hidden="1"/>
    </xf>
    <xf numFmtId="165" fontId="5" fillId="0" borderId="22" xfId="0" applyNumberFormat="1" applyFont="1" applyBorder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 horizontal="left" vertical="center" wrapText="1" indent="1"/>
      <protection hidden="1"/>
    </xf>
    <xf numFmtId="164" fontId="5" fillId="0" borderId="22" xfId="0" applyFont="1" applyBorder="1" applyAlignment="1" applyProtection="1">
      <alignment horizontal="center" vertical="center" shrinkToFit="1"/>
      <protection hidden="1"/>
    </xf>
    <xf numFmtId="165" fontId="11" fillId="0" borderId="23" xfId="0" applyNumberFormat="1" applyFont="1" applyBorder="1" applyAlignment="1" applyProtection="1">
      <alignment horizontal="center" vertical="center"/>
      <protection hidden="1"/>
    </xf>
    <xf numFmtId="165" fontId="11" fillId="0" borderId="24" xfId="0" applyNumberFormat="1" applyFont="1" applyBorder="1" applyAlignment="1" applyProtection="1">
      <alignment horizontal="center" vertical="center"/>
      <protection hidden="1"/>
    </xf>
    <xf numFmtId="165" fontId="5" fillId="0" borderId="9" xfId="0" applyNumberFormat="1" applyFont="1" applyBorder="1" applyAlignment="1" applyProtection="1">
      <alignment horizontal="center" vertical="center"/>
      <protection hidden="1"/>
    </xf>
    <xf numFmtId="165" fontId="11" fillId="0" borderId="25" xfId="0" applyNumberFormat="1" applyFont="1" applyBorder="1" applyAlignment="1" applyProtection="1">
      <alignment horizontal="center" vertical="center"/>
      <protection hidden="1"/>
    </xf>
    <xf numFmtId="165" fontId="11" fillId="0" borderId="22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165" fontId="4" fillId="0" borderId="27" xfId="0" applyNumberFormat="1" applyFont="1" applyBorder="1" applyAlignment="1" applyProtection="1">
      <alignment horizontal="center" vertical="center"/>
      <protection hidden="1"/>
    </xf>
    <xf numFmtId="165" fontId="5" fillId="3" borderId="28" xfId="0" applyNumberFormat="1" applyFont="1" applyFill="1" applyBorder="1" applyAlignment="1" applyProtection="1">
      <alignment horizontal="center" vertical="center"/>
      <protection hidden="1"/>
    </xf>
    <xf numFmtId="164" fontId="5" fillId="3" borderId="28" xfId="0" applyFont="1" applyFill="1" applyBorder="1" applyAlignment="1" applyProtection="1">
      <alignment horizontal="left" vertical="center" wrapText="1" indent="1"/>
      <protection hidden="1"/>
    </xf>
    <xf numFmtId="164" fontId="5" fillId="3" borderId="28" xfId="0" applyFont="1" applyFill="1" applyBorder="1" applyAlignment="1" applyProtection="1">
      <alignment horizontal="center" vertical="center" shrinkToFit="1"/>
      <protection hidden="1"/>
    </xf>
    <xf numFmtId="165" fontId="11" fillId="3" borderId="29" xfId="0" applyNumberFormat="1" applyFont="1" applyFill="1" applyBorder="1" applyAlignment="1" applyProtection="1">
      <alignment horizontal="center" vertical="center"/>
      <protection hidden="1"/>
    </xf>
    <xf numFmtId="165" fontId="11" fillId="3" borderId="30" xfId="0" applyNumberFormat="1" applyFont="1" applyFill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165" fontId="11" fillId="3" borderId="31" xfId="0" applyNumberFormat="1" applyFont="1" applyFill="1" applyBorder="1" applyAlignment="1" applyProtection="1">
      <alignment horizontal="center" vertical="center"/>
      <protection hidden="1"/>
    </xf>
    <xf numFmtId="166" fontId="5" fillId="3" borderId="11" xfId="0" applyNumberFormat="1" applyFont="1" applyFill="1" applyBorder="1" applyAlignment="1" applyProtection="1">
      <alignment horizontal="center" vertical="center"/>
      <protection hidden="1"/>
    </xf>
    <xf numFmtId="165" fontId="11" fillId="3" borderId="28" xfId="0" applyNumberFormat="1" applyFont="1" applyFill="1" applyBorder="1" applyAlignment="1" applyProtection="1">
      <alignment horizontal="center" vertical="center"/>
      <protection hidden="1"/>
    </xf>
    <xf numFmtId="165" fontId="3" fillId="3" borderId="32" xfId="0" applyNumberFormat="1" applyFont="1" applyFill="1" applyBorder="1" applyAlignment="1" applyProtection="1">
      <alignment horizontal="center" vertical="center"/>
      <protection hidden="1"/>
    </xf>
    <xf numFmtId="165" fontId="4" fillId="3" borderId="33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left" vertical="center" wrapText="1" indent="1"/>
      <protection hidden="1"/>
    </xf>
    <xf numFmtId="164" fontId="5" fillId="0" borderId="0" xfId="0" applyFont="1" applyFill="1" applyBorder="1" applyAlignment="1" applyProtection="1">
      <alignment horizontal="center"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28" xfId="0" applyNumberFormat="1" applyFont="1" applyBorder="1" applyAlignment="1" applyProtection="1">
      <alignment horizontal="center" vertical="center"/>
      <protection hidden="1"/>
    </xf>
    <xf numFmtId="164" fontId="5" fillId="0" borderId="28" xfId="0" applyFont="1" applyBorder="1" applyAlignment="1" applyProtection="1">
      <alignment horizontal="left" vertical="center" wrapText="1" indent="1"/>
      <protection hidden="1"/>
    </xf>
    <xf numFmtId="164" fontId="5" fillId="0" borderId="28" xfId="0" applyFont="1" applyBorder="1" applyAlignment="1" applyProtection="1">
      <alignment horizontal="center" vertical="center" shrinkToFit="1"/>
      <protection hidden="1"/>
    </xf>
    <xf numFmtId="165" fontId="11" fillId="0" borderId="29" xfId="0" applyNumberFormat="1" applyFont="1" applyBorder="1" applyAlignment="1" applyProtection="1">
      <alignment horizontal="center" vertical="center"/>
      <protection hidden="1"/>
    </xf>
    <xf numFmtId="165" fontId="11" fillId="0" borderId="30" xfId="0" applyNumberFormat="1" applyFont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31" xfId="0" applyNumberFormat="1" applyFont="1" applyBorder="1" applyAlignment="1" applyProtection="1">
      <alignment horizontal="center" vertical="center"/>
      <protection hidden="1"/>
    </xf>
    <xf numFmtId="166" fontId="5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28" xfId="0" applyNumberFormat="1" applyFont="1" applyBorder="1" applyAlignment="1" applyProtection="1">
      <alignment horizontal="center" vertical="center"/>
      <protection hidden="1"/>
    </xf>
    <xf numFmtId="165" fontId="3" fillId="0" borderId="32" xfId="0" applyNumberFormat="1" applyFont="1" applyBorder="1" applyAlignment="1" applyProtection="1">
      <alignment horizontal="center" vertical="center"/>
      <protection hidden="1"/>
    </xf>
    <xf numFmtId="165" fontId="4" fillId="0" borderId="33" xfId="0" applyNumberFormat="1" applyFont="1" applyBorder="1" applyAlignment="1" applyProtection="1">
      <alignment horizontal="center" vertical="center"/>
      <protection hidden="1"/>
    </xf>
    <xf numFmtId="164" fontId="12" fillId="2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34" xfId="0" applyFont="1" applyBorder="1" applyAlignment="1">
      <alignment horizontal="center" vertical="center" wrapText="1"/>
    </xf>
    <xf numFmtId="164" fontId="15" fillId="0" borderId="35" xfId="0" applyFont="1" applyBorder="1" applyAlignment="1">
      <alignment horizontal="left" vertical="center"/>
    </xf>
    <xf numFmtId="164" fontId="0" fillId="0" borderId="35" xfId="0" applyFont="1" applyBorder="1" applyAlignment="1">
      <alignment horizontal="center" vertical="center"/>
    </xf>
    <xf numFmtId="164" fontId="15" fillId="0" borderId="35" xfId="0" applyFont="1" applyBorder="1" applyAlignment="1">
      <alignment horizontal="center" vertical="center" wrapText="1"/>
    </xf>
    <xf numFmtId="164" fontId="15" fillId="0" borderId="36" xfId="0" applyFont="1" applyBorder="1" applyAlignment="1">
      <alignment horizontal="center" vertical="center" wrapText="1"/>
    </xf>
    <xf numFmtId="164" fontId="15" fillId="0" borderId="37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center"/>
    </xf>
    <xf numFmtId="164" fontId="0" fillId="0" borderId="38" xfId="0" applyFont="1" applyBorder="1" applyAlignment="1">
      <alignment/>
    </xf>
    <xf numFmtId="164" fontId="0" fillId="0" borderId="38" xfId="0" applyFon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4" fontId="16" fillId="0" borderId="40" xfId="0" applyFont="1" applyBorder="1" applyAlignment="1">
      <alignment horizontal="center"/>
    </xf>
    <xf numFmtId="164" fontId="17" fillId="0" borderId="41" xfId="0" applyFont="1" applyBorder="1" applyAlignment="1">
      <alignment horizontal="center"/>
    </xf>
    <xf numFmtId="164" fontId="18" fillId="4" borderId="22" xfId="0" applyFont="1" applyFill="1" applyBorder="1" applyAlignment="1">
      <alignment horizontal="center"/>
    </xf>
    <xf numFmtId="164" fontId="19" fillId="4" borderId="4" xfId="0" applyFont="1" applyFill="1" applyBorder="1" applyAlignment="1">
      <alignment horizontal="center"/>
    </xf>
    <xf numFmtId="164" fontId="15" fillId="0" borderId="9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2" xfId="0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4" fontId="16" fillId="0" borderId="44" xfId="0" applyFont="1" applyBorder="1" applyAlignment="1">
      <alignment horizontal="center"/>
    </xf>
    <xf numFmtId="164" fontId="17" fillId="0" borderId="22" xfId="0" applyFont="1" applyBorder="1" applyAlignment="1">
      <alignment horizontal="center"/>
    </xf>
    <xf numFmtId="164" fontId="19" fillId="4" borderId="22" xfId="0" applyFont="1" applyFill="1" applyBorder="1" applyAlignment="1">
      <alignment horizontal="center"/>
    </xf>
    <xf numFmtId="164" fontId="0" fillId="0" borderId="42" xfId="0" applyFont="1" applyFill="1" applyBorder="1" applyAlignment="1">
      <alignment/>
    </xf>
    <xf numFmtId="164" fontId="0" fillId="0" borderId="42" xfId="0" applyFont="1" applyFill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5" fillId="0" borderId="12" xfId="0" applyFont="1" applyBorder="1" applyAlignment="1">
      <alignment horizontal="center"/>
    </xf>
    <xf numFmtId="164" fontId="0" fillId="0" borderId="45" xfId="0" applyFont="1" applyFill="1" applyBorder="1" applyAlignment="1">
      <alignment/>
    </xf>
    <xf numFmtId="164" fontId="0" fillId="0" borderId="45" xfId="0" applyFont="1" applyFill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4" fontId="0" fillId="0" borderId="45" xfId="0" applyFont="1" applyBorder="1" applyAlignment="1">
      <alignment horizontal="center"/>
    </xf>
    <xf numFmtId="166" fontId="0" fillId="0" borderId="46" xfId="0" applyNumberFormat="1" applyFont="1" applyBorder="1" applyAlignment="1">
      <alignment horizontal="center"/>
    </xf>
    <xf numFmtId="164" fontId="16" fillId="0" borderId="47" xfId="0" applyFont="1" applyBorder="1" applyAlignment="1">
      <alignment horizontal="center"/>
    </xf>
    <xf numFmtId="164" fontId="17" fillId="0" borderId="48" xfId="0" applyFont="1" applyBorder="1" applyAlignment="1">
      <alignment horizontal="center"/>
    </xf>
    <xf numFmtId="164" fontId="18" fillId="4" borderId="48" xfId="0" applyFont="1" applyFill="1" applyBorder="1" applyAlignment="1">
      <alignment horizontal="center"/>
    </xf>
    <xf numFmtId="164" fontId="19" fillId="4" borderId="48" xfId="0" applyFont="1" applyFill="1" applyBorder="1" applyAlignment="1">
      <alignment horizontal="center"/>
    </xf>
    <xf numFmtId="164" fontId="15" fillId="0" borderId="11" xfId="0" applyFont="1" applyBorder="1" applyAlignment="1">
      <alignment horizontal="center"/>
    </xf>
    <xf numFmtId="164" fontId="0" fillId="0" borderId="49" xfId="0" applyFont="1" applyFill="1" applyBorder="1" applyAlignment="1">
      <alignment/>
    </xf>
    <xf numFmtId="164" fontId="0" fillId="0" borderId="49" xfId="0" applyFont="1" applyFill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4" fontId="0" fillId="0" borderId="49" xfId="0" applyFont="1" applyBorder="1" applyAlignment="1">
      <alignment horizontal="center"/>
    </xf>
    <xf numFmtId="166" fontId="0" fillId="0" borderId="50" xfId="0" applyNumberFormat="1" applyFont="1" applyBorder="1" applyAlignment="1">
      <alignment horizontal="center"/>
    </xf>
    <xf numFmtId="164" fontId="16" fillId="0" borderId="51" xfId="0" applyFont="1" applyBorder="1" applyAlignment="1">
      <alignment horizontal="center"/>
    </xf>
    <xf numFmtId="164" fontId="17" fillId="0" borderId="28" xfId="0" applyFont="1" applyBorder="1" applyAlignment="1">
      <alignment horizontal="center"/>
    </xf>
    <xf numFmtId="164" fontId="18" fillId="4" borderId="28" xfId="0" applyFont="1" applyFill="1" applyBorder="1" applyAlignment="1">
      <alignment horizontal="center"/>
    </xf>
    <xf numFmtId="164" fontId="19" fillId="4" borderId="28" xfId="0" applyFont="1" applyFill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5" fillId="0" borderId="52" xfId="0" applyFont="1" applyFill="1" applyBorder="1" applyAlignment="1">
      <alignment horizontal="center" vertical="center" wrapText="1"/>
    </xf>
    <xf numFmtId="164" fontId="15" fillId="0" borderId="53" xfId="0" applyFont="1" applyFill="1" applyBorder="1" applyAlignment="1">
      <alignment horizontal="center" vertical="center" wrapText="1"/>
    </xf>
    <xf numFmtId="164" fontId="15" fillId="0" borderId="54" xfId="0" applyFont="1" applyFill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55" xfId="0" applyBorder="1" applyAlignment="1">
      <alignment horizontal="center"/>
    </xf>
    <xf numFmtId="164" fontId="0" fillId="0" borderId="56" xfId="0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49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49" xfId="0" applyFont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0" fillId="0" borderId="4" xfId="0" applyBorder="1" applyAlignment="1">
      <alignment horizontal="center"/>
    </xf>
    <xf numFmtId="164" fontId="19" fillId="4" borderId="41" xfId="0" applyFont="1" applyFill="1" applyBorder="1" applyAlignment="1">
      <alignment horizontal="center"/>
    </xf>
    <xf numFmtId="164" fontId="18" fillId="4" borderId="41" xfId="0" applyFont="1" applyFill="1" applyBorder="1" applyAlignment="1">
      <alignment horizontal="center"/>
    </xf>
    <xf numFmtId="164" fontId="0" fillId="0" borderId="22" xfId="0" applyBorder="1" applyAlignment="1">
      <alignment horizontal="center"/>
    </xf>
    <xf numFmtId="166" fontId="0" fillId="0" borderId="49" xfId="0" applyNumberFormat="1" applyFont="1" applyBorder="1" applyAlignment="1">
      <alignment horizontal="center"/>
    </xf>
    <xf numFmtId="164" fontId="0" fillId="0" borderId="28" xfId="0" applyBorder="1" applyAlignment="1">
      <alignment horizontal="center"/>
    </xf>
    <xf numFmtId="164" fontId="15" fillId="0" borderId="57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15" fillId="0" borderId="20" xfId="0" applyFont="1" applyBorder="1" applyAlignment="1">
      <alignment horizontal="center"/>
    </xf>
    <xf numFmtId="166" fontId="0" fillId="0" borderId="55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164" fontId="16" fillId="0" borderId="59" xfId="0" applyFont="1" applyBorder="1" applyAlignment="1">
      <alignment horizontal="center"/>
    </xf>
    <xf numFmtId="164" fontId="18" fillId="4" borderId="0" xfId="0" applyFont="1" applyFill="1" applyBorder="1" applyAlignment="1">
      <alignment horizontal="center"/>
    </xf>
    <xf numFmtId="164" fontId="16" fillId="0" borderId="60" xfId="0" applyFont="1" applyBorder="1" applyAlignment="1">
      <alignment horizontal="center"/>
    </xf>
    <xf numFmtId="166" fontId="0" fillId="0" borderId="61" xfId="0" applyNumberFormat="1" applyFont="1" applyBorder="1" applyAlignment="1">
      <alignment horizontal="center"/>
    </xf>
    <xf numFmtId="164" fontId="16" fillId="0" borderId="62" xfId="0" applyFont="1" applyBorder="1" applyAlignment="1">
      <alignment horizontal="center"/>
    </xf>
    <xf numFmtId="164" fontId="18" fillId="4" borderId="10" xfId="0" applyFont="1" applyFill="1" applyBorder="1" applyAlignment="1">
      <alignment horizontal="center"/>
    </xf>
    <xf numFmtId="164" fontId="1" fillId="0" borderId="0" xfId="0" applyFont="1" applyAlignment="1" applyProtection="1">
      <alignment vertical="center"/>
      <protection hidden="1"/>
    </xf>
    <xf numFmtId="164" fontId="2" fillId="2" borderId="0" xfId="0" applyFont="1" applyFill="1" applyBorder="1" applyAlignment="1" applyProtection="1">
      <alignment horizontal="center" vertical="center"/>
      <protection hidden="1" locked="0"/>
    </xf>
    <xf numFmtId="164" fontId="1" fillId="2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Alignment="1" applyProtection="1">
      <alignment horizontal="center" vertical="center"/>
      <protection hidden="1" locked="0"/>
    </xf>
    <xf numFmtId="167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7" fontId="4" fillId="0" borderId="0" xfId="0" applyNumberFormat="1" applyFont="1" applyFill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9" fillId="0" borderId="1" xfId="0" applyFont="1" applyBorder="1" applyAlignment="1" applyProtection="1">
      <alignment horizontal="center" vertical="center" textRotation="90"/>
      <protection hidden="1"/>
    </xf>
    <xf numFmtId="164" fontId="6" fillId="0" borderId="7" xfId="0" applyFont="1" applyBorder="1" applyAlignment="1" applyProtection="1">
      <alignment horizontal="center" vertical="center" textRotation="90"/>
      <protection hidden="1"/>
    </xf>
    <xf numFmtId="164" fontId="10" fillId="0" borderId="49" xfId="0" applyFont="1" applyBorder="1" applyAlignment="1" applyProtection="1">
      <alignment horizontal="center" vertical="center" wrapText="1"/>
      <protection hidden="1"/>
    </xf>
    <xf numFmtId="164" fontId="5" fillId="0" borderId="49" xfId="0" applyFont="1" applyBorder="1" applyAlignment="1" applyProtection="1">
      <alignment horizontal="center" vertical="center" wrapText="1"/>
      <protection hidden="1"/>
    </xf>
    <xf numFmtId="164" fontId="10" fillId="0" borderId="30" xfId="0" applyFont="1" applyBorder="1" applyAlignment="1" applyProtection="1">
      <alignment horizontal="center" vertical="center"/>
      <protection hidden="1"/>
    </xf>
    <xf numFmtId="164" fontId="10" fillId="0" borderId="49" xfId="0" applyFont="1" applyBorder="1" applyAlignment="1" applyProtection="1">
      <alignment horizontal="center" vertical="center"/>
      <protection hidden="1"/>
    </xf>
    <xf numFmtId="165" fontId="11" fillId="0" borderId="63" xfId="0" applyNumberFormat="1" applyFont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4" fontId="5" fillId="0" borderId="64" xfId="0" applyFont="1" applyBorder="1" applyAlignment="1" applyProtection="1">
      <alignment horizontal="left" vertical="center"/>
      <protection hidden="1"/>
    </xf>
    <xf numFmtId="164" fontId="5" fillId="0" borderId="64" xfId="0" applyFont="1" applyBorder="1" applyAlignment="1" applyProtection="1">
      <alignment horizontal="center" vertical="center"/>
      <protection hidden="1"/>
    </xf>
    <xf numFmtId="166" fontId="5" fillId="0" borderId="55" xfId="0" applyNumberFormat="1" applyFont="1" applyBorder="1" applyAlignment="1" applyProtection="1">
      <alignment horizontal="center" vertical="center"/>
      <protection hidden="1"/>
    </xf>
    <xf numFmtId="165" fontId="6" fillId="0" borderId="55" xfId="0" applyNumberFormat="1" applyFont="1" applyBorder="1" applyAlignment="1" applyProtection="1">
      <alignment horizontal="center" vertical="center"/>
      <protection hidden="1"/>
    </xf>
    <xf numFmtId="165" fontId="5" fillId="0" borderId="55" xfId="0" applyNumberFormat="1" applyFont="1" applyBorder="1" applyAlignment="1" applyProtection="1">
      <alignment horizontal="center" vertical="center"/>
      <protection hidden="1"/>
    </xf>
    <xf numFmtId="165" fontId="5" fillId="0" borderId="20" xfId="0" applyNumberFormat="1" applyFont="1" applyBorder="1" applyAlignment="1" applyProtection="1">
      <alignment horizontal="center" vertical="center"/>
      <protection hidden="1"/>
    </xf>
    <xf numFmtId="165" fontId="6" fillId="0" borderId="4" xfId="0" applyNumberFormat="1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/>
      <protection hidden="1"/>
    </xf>
    <xf numFmtId="165" fontId="6" fillId="0" borderId="38" xfId="0" applyNumberFormat="1" applyFont="1" applyBorder="1" applyAlignment="1" applyProtection="1">
      <alignment horizontal="center" vertical="center"/>
      <protection hidden="1"/>
    </xf>
    <xf numFmtId="165" fontId="6" fillId="0" borderId="21" xfId="0" applyNumberFormat="1" applyFont="1" applyBorder="1" applyAlignment="1" applyProtection="1">
      <alignment horizontal="center" vertical="center"/>
      <protection hidden="1"/>
    </xf>
    <xf numFmtId="165" fontId="21" fillId="0" borderId="21" xfId="0" applyNumberFormat="1" applyFont="1" applyBorder="1" applyAlignment="1" applyProtection="1">
      <alignment horizontal="center" vertical="center"/>
      <protection hidden="1"/>
    </xf>
    <xf numFmtId="165" fontId="21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8" xfId="0" applyNumberFormat="1" applyFont="1" applyFill="1" applyBorder="1" applyAlignment="1" applyProtection="1">
      <alignment horizontal="center" vertical="center"/>
      <protection hidden="1"/>
    </xf>
    <xf numFmtId="164" fontId="5" fillId="3" borderId="48" xfId="0" applyFont="1" applyFill="1" applyBorder="1" applyAlignment="1" applyProtection="1">
      <alignment horizontal="left" vertical="center"/>
      <protection hidden="1"/>
    </xf>
    <xf numFmtId="164" fontId="5" fillId="3" borderId="48" xfId="0" applyFont="1" applyFill="1" applyBorder="1" applyAlignment="1" applyProtection="1">
      <alignment horizontal="center" vertical="center"/>
      <protection hidden="1"/>
    </xf>
    <xf numFmtId="166" fontId="5" fillId="3" borderId="42" xfId="0" applyNumberFormat="1" applyFont="1" applyFill="1" applyBorder="1" applyAlignment="1" applyProtection="1">
      <alignment horizontal="center" vertical="center"/>
      <protection hidden="1"/>
    </xf>
    <xf numFmtId="165" fontId="6" fillId="3" borderId="42" xfId="0" applyNumberFormat="1" applyFont="1" applyFill="1" applyBorder="1" applyAlignment="1" applyProtection="1">
      <alignment horizontal="center" vertical="center"/>
      <protection hidden="1"/>
    </xf>
    <xf numFmtId="165" fontId="5" fillId="3" borderId="42" xfId="0" applyNumberFormat="1" applyFont="1" applyFill="1" applyBorder="1" applyAlignment="1" applyProtection="1">
      <alignment horizontal="center" vertical="center"/>
      <protection hidden="1"/>
    </xf>
    <xf numFmtId="165" fontId="5" fillId="3" borderId="24" xfId="0" applyNumberFormat="1" applyFont="1" applyFill="1" applyBorder="1" applyAlignment="1" applyProtection="1">
      <alignment horizontal="center" vertical="center"/>
      <protection hidden="1"/>
    </xf>
    <xf numFmtId="165" fontId="6" fillId="3" borderId="22" xfId="0" applyNumberFormat="1" applyFont="1" applyFill="1" applyBorder="1" applyAlignment="1" applyProtection="1">
      <alignment horizontal="center" vertical="center"/>
      <protection hidden="1"/>
    </xf>
    <xf numFmtId="165" fontId="6" fillId="3" borderId="26" xfId="0" applyNumberFormat="1" applyFont="1" applyFill="1" applyBorder="1" applyAlignment="1" applyProtection="1">
      <alignment horizontal="center" vertical="center"/>
      <protection hidden="1"/>
    </xf>
    <xf numFmtId="165" fontId="6" fillId="3" borderId="24" xfId="0" applyNumberFormat="1" applyFont="1" applyFill="1" applyBorder="1" applyAlignment="1" applyProtection="1">
      <alignment horizontal="center" vertical="center"/>
      <protection hidden="1"/>
    </xf>
    <xf numFmtId="165" fontId="6" fillId="3" borderId="27" xfId="0" applyNumberFormat="1" applyFont="1" applyFill="1" applyBorder="1" applyAlignment="1" applyProtection="1">
      <alignment horizontal="center" vertical="center"/>
      <protection hidden="1"/>
    </xf>
    <xf numFmtId="165" fontId="21" fillId="3" borderId="27" xfId="0" applyNumberFormat="1" applyFont="1" applyFill="1" applyBorder="1" applyAlignment="1" applyProtection="1">
      <alignment horizontal="center" vertical="center"/>
      <protection hidden="1"/>
    </xf>
    <xf numFmtId="165" fontId="21" fillId="3" borderId="22" xfId="0" applyNumberFormat="1" applyFont="1" applyFill="1" applyBorder="1" applyAlignment="1" applyProtection="1">
      <alignment horizontal="center" vertical="center"/>
      <protection hidden="1"/>
    </xf>
    <xf numFmtId="165" fontId="5" fillId="0" borderId="48" xfId="0" applyNumberFormat="1" applyFont="1" applyBorder="1" applyAlignment="1" applyProtection="1">
      <alignment horizontal="center" vertical="center"/>
      <protection hidden="1"/>
    </xf>
    <xf numFmtId="164" fontId="5" fillId="0" borderId="48" xfId="0" applyFont="1" applyBorder="1" applyAlignment="1" applyProtection="1">
      <alignment horizontal="left" vertical="center"/>
      <protection hidden="1"/>
    </xf>
    <xf numFmtId="164" fontId="5" fillId="0" borderId="48" xfId="0" applyFont="1" applyBorder="1" applyAlignment="1" applyProtection="1">
      <alignment horizontal="center" vertical="center"/>
      <protection hidden="1"/>
    </xf>
    <xf numFmtId="166" fontId="5" fillId="0" borderId="42" xfId="0" applyNumberFormat="1" applyFont="1" applyBorder="1" applyAlignment="1" applyProtection="1">
      <alignment horizontal="center" vertical="center"/>
      <protection hidden="1"/>
    </xf>
    <xf numFmtId="165" fontId="6" fillId="0" borderId="42" xfId="0" applyNumberFormat="1" applyFont="1" applyBorder="1" applyAlignment="1" applyProtection="1">
      <alignment horizontal="center" vertical="center"/>
      <protection hidden="1"/>
    </xf>
    <xf numFmtId="165" fontId="5" fillId="0" borderId="42" xfId="0" applyNumberFormat="1" applyFont="1" applyBorder="1" applyAlignment="1" applyProtection="1">
      <alignment horizontal="center" vertical="center"/>
      <protection hidden="1"/>
    </xf>
    <xf numFmtId="165" fontId="5" fillId="0" borderId="24" xfId="0" applyNumberFormat="1" applyFont="1" applyBorder="1" applyAlignment="1" applyProtection="1">
      <alignment horizontal="center" vertical="center"/>
      <protection hidden="1"/>
    </xf>
    <xf numFmtId="165" fontId="6" fillId="0" borderId="22" xfId="0" applyNumberFormat="1" applyFont="1" applyBorder="1" applyAlignment="1" applyProtection="1">
      <alignment horizontal="center" vertical="center"/>
      <protection hidden="1"/>
    </xf>
    <xf numFmtId="165" fontId="6" fillId="0" borderId="26" xfId="0" applyNumberFormat="1" applyFont="1" applyBorder="1" applyAlignment="1" applyProtection="1">
      <alignment horizontal="center" vertical="center"/>
      <protection hidden="1"/>
    </xf>
    <xf numFmtId="165" fontId="6" fillId="0" borderId="24" xfId="0" applyNumberFormat="1" applyFont="1" applyBorder="1" applyAlignment="1" applyProtection="1">
      <alignment horizontal="center" vertical="center"/>
      <protection hidden="1"/>
    </xf>
    <xf numFmtId="165" fontId="6" fillId="0" borderId="27" xfId="0" applyNumberFormat="1" applyFont="1" applyBorder="1" applyAlignment="1" applyProtection="1">
      <alignment horizontal="center" vertical="center"/>
      <protection hidden="1"/>
    </xf>
    <xf numFmtId="165" fontId="21" fillId="0" borderId="27" xfId="0" applyNumberFormat="1" applyFont="1" applyBorder="1" applyAlignment="1" applyProtection="1">
      <alignment horizontal="center" vertical="center"/>
      <protection hidden="1"/>
    </xf>
    <xf numFmtId="165" fontId="21" fillId="0" borderId="22" xfId="0" applyNumberFormat="1" applyFont="1" applyBorder="1" applyAlignment="1" applyProtection="1">
      <alignment horizontal="center" vertical="center"/>
      <protection hidden="1"/>
    </xf>
    <xf numFmtId="164" fontId="5" fillId="0" borderId="65" xfId="0" applyFont="1" applyBorder="1" applyAlignment="1" applyProtection="1">
      <alignment horizontal="left" vertical="center"/>
      <protection hidden="1"/>
    </xf>
    <xf numFmtId="164" fontId="5" fillId="3" borderId="65" xfId="0" applyFont="1" applyFill="1" applyBorder="1" applyAlignment="1" applyProtection="1">
      <alignment horizontal="left" vertical="center"/>
      <protection hidden="1"/>
    </xf>
    <xf numFmtId="164" fontId="5" fillId="3" borderId="65" xfId="0" applyFont="1" applyFill="1" applyBorder="1" applyAlignment="1" applyProtection="1">
      <alignment horizontal="center" vertical="center"/>
      <protection hidden="1"/>
    </xf>
    <xf numFmtId="164" fontId="5" fillId="0" borderId="65" xfId="0" applyFont="1" applyBorder="1" applyAlignment="1" applyProtection="1">
      <alignment horizontal="center" vertical="center"/>
      <protection hidden="1"/>
    </xf>
    <xf numFmtId="166" fontId="5" fillId="4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5" fontId="5" fillId="0" borderId="48" xfId="0" applyNumberFormat="1" applyFont="1" applyFill="1" applyBorder="1" applyAlignment="1" applyProtection="1">
      <alignment horizontal="center" vertical="center"/>
      <protection hidden="1"/>
    </xf>
    <xf numFmtId="164" fontId="5" fillId="0" borderId="48" xfId="0" applyFont="1" applyFill="1" applyBorder="1" applyAlignment="1" applyProtection="1">
      <alignment horizontal="left" vertical="center"/>
      <protection hidden="1"/>
    </xf>
    <xf numFmtId="164" fontId="5" fillId="0" borderId="48" xfId="0" applyFont="1" applyFill="1" applyBorder="1" applyAlignment="1" applyProtection="1">
      <alignment horizontal="center" vertical="center"/>
      <protection hidden="1"/>
    </xf>
    <xf numFmtId="166" fontId="5" fillId="0" borderId="12" xfId="0" applyNumberFormat="1" applyFont="1" applyFill="1" applyBorder="1" applyAlignment="1" applyProtection="1">
      <alignment horizontal="center" vertical="center"/>
      <protection hidden="1"/>
    </xf>
    <xf numFmtId="166" fontId="5" fillId="0" borderId="45" xfId="0" applyNumberFormat="1" applyFont="1" applyFill="1" applyBorder="1" applyAlignment="1" applyProtection="1">
      <alignment horizontal="center" vertical="center"/>
      <protection hidden="1"/>
    </xf>
    <xf numFmtId="165" fontId="6" fillId="0" borderId="45" xfId="0" applyNumberFormat="1" applyFont="1" applyFill="1" applyBorder="1" applyAlignment="1" applyProtection="1">
      <alignment horizontal="center" vertical="center"/>
      <protection hidden="1"/>
    </xf>
    <xf numFmtId="165" fontId="5" fillId="0" borderId="45" xfId="0" applyNumberFormat="1" applyFont="1" applyFill="1" applyBorder="1" applyAlignment="1" applyProtection="1">
      <alignment horizontal="center" vertical="center"/>
      <protection hidden="1"/>
    </xf>
    <xf numFmtId="165" fontId="5" fillId="0" borderId="66" xfId="0" applyNumberFormat="1" applyFont="1" applyFill="1" applyBorder="1" applyAlignment="1" applyProtection="1">
      <alignment horizontal="center" vertical="center"/>
      <protection hidden="1"/>
    </xf>
    <xf numFmtId="165" fontId="5" fillId="0" borderId="12" xfId="0" applyNumberFormat="1" applyFont="1" applyFill="1" applyBorder="1" applyAlignment="1" applyProtection="1">
      <alignment horizontal="center" vertical="center"/>
      <protection hidden="1"/>
    </xf>
    <xf numFmtId="165" fontId="6" fillId="0" borderId="48" xfId="0" applyNumberFormat="1" applyFont="1" applyFill="1" applyBorder="1" applyAlignment="1" applyProtection="1">
      <alignment horizontal="center" vertical="center"/>
      <protection hidden="1"/>
    </xf>
    <xf numFmtId="165" fontId="6" fillId="0" borderId="67" xfId="0" applyNumberFormat="1" applyFont="1" applyFill="1" applyBorder="1" applyAlignment="1" applyProtection="1">
      <alignment horizontal="center" vertical="center"/>
      <protection hidden="1"/>
    </xf>
    <xf numFmtId="165" fontId="6" fillId="0" borderId="66" xfId="0" applyNumberFormat="1" applyFont="1" applyFill="1" applyBorder="1" applyAlignment="1" applyProtection="1">
      <alignment horizontal="center" vertical="center"/>
      <protection hidden="1"/>
    </xf>
    <xf numFmtId="165" fontId="6" fillId="0" borderId="68" xfId="0" applyNumberFormat="1" applyFont="1" applyFill="1" applyBorder="1" applyAlignment="1" applyProtection="1">
      <alignment horizontal="center" vertical="center"/>
      <protection hidden="1"/>
    </xf>
    <xf numFmtId="165" fontId="21" fillId="0" borderId="68" xfId="0" applyNumberFormat="1" applyFont="1" applyFill="1" applyBorder="1" applyAlignment="1" applyProtection="1">
      <alignment horizontal="center" vertical="center"/>
      <protection hidden="1"/>
    </xf>
    <xf numFmtId="165" fontId="21" fillId="0" borderId="4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6" fontId="5" fillId="3" borderId="12" xfId="0" applyNumberFormat="1" applyFont="1" applyFill="1" applyBorder="1" applyAlignment="1" applyProtection="1">
      <alignment horizontal="center" vertical="center"/>
      <protection hidden="1"/>
    </xf>
    <xf numFmtId="166" fontId="5" fillId="3" borderId="45" xfId="0" applyNumberFormat="1" applyFont="1" applyFill="1" applyBorder="1" applyAlignment="1" applyProtection="1">
      <alignment horizontal="center" vertical="center"/>
      <protection hidden="1"/>
    </xf>
    <xf numFmtId="165" fontId="6" fillId="3" borderId="45" xfId="0" applyNumberFormat="1" applyFont="1" applyFill="1" applyBorder="1" applyAlignment="1" applyProtection="1">
      <alignment horizontal="center" vertical="center"/>
      <protection hidden="1"/>
    </xf>
    <xf numFmtId="165" fontId="5" fillId="3" borderId="45" xfId="0" applyNumberFormat="1" applyFont="1" applyFill="1" applyBorder="1" applyAlignment="1" applyProtection="1">
      <alignment horizontal="center" vertical="center"/>
      <protection hidden="1"/>
    </xf>
    <xf numFmtId="165" fontId="5" fillId="3" borderId="66" xfId="0" applyNumberFormat="1" applyFont="1" applyFill="1" applyBorder="1" applyAlignment="1" applyProtection="1">
      <alignment horizontal="center" vertical="center"/>
      <protection hidden="1"/>
    </xf>
    <xf numFmtId="165" fontId="5" fillId="3" borderId="12" xfId="0" applyNumberFormat="1" applyFont="1" applyFill="1" applyBorder="1" applyAlignment="1" applyProtection="1">
      <alignment horizontal="center" vertical="center"/>
      <protection hidden="1"/>
    </xf>
    <xf numFmtId="165" fontId="6" fillId="3" borderId="48" xfId="0" applyNumberFormat="1" applyFont="1" applyFill="1" applyBorder="1" applyAlignment="1" applyProtection="1">
      <alignment horizontal="center" vertical="center"/>
      <protection hidden="1"/>
    </xf>
    <xf numFmtId="165" fontId="6" fillId="3" borderId="67" xfId="0" applyNumberFormat="1" applyFont="1" applyFill="1" applyBorder="1" applyAlignment="1" applyProtection="1">
      <alignment horizontal="center" vertical="center"/>
      <protection hidden="1"/>
    </xf>
    <xf numFmtId="165" fontId="6" fillId="3" borderId="66" xfId="0" applyNumberFormat="1" applyFont="1" applyFill="1" applyBorder="1" applyAlignment="1" applyProtection="1">
      <alignment horizontal="center" vertical="center"/>
      <protection hidden="1"/>
    </xf>
    <xf numFmtId="165" fontId="6" fillId="3" borderId="68" xfId="0" applyNumberFormat="1" applyFont="1" applyFill="1" applyBorder="1" applyAlignment="1" applyProtection="1">
      <alignment horizontal="center" vertical="center"/>
      <protection hidden="1"/>
    </xf>
    <xf numFmtId="165" fontId="21" fillId="3" borderId="68" xfId="0" applyNumberFormat="1" applyFont="1" applyFill="1" applyBorder="1" applyAlignment="1" applyProtection="1">
      <alignment horizontal="center" vertical="center"/>
      <protection hidden="1"/>
    </xf>
    <xf numFmtId="165" fontId="21" fillId="3" borderId="48" xfId="0" applyNumberFormat="1" applyFont="1" applyFill="1" applyBorder="1" applyAlignment="1" applyProtection="1">
      <alignment horizontal="center" vertical="center"/>
      <protection hidden="1"/>
    </xf>
    <xf numFmtId="165" fontId="5" fillId="4" borderId="28" xfId="0" applyNumberFormat="1" applyFont="1" applyFill="1" applyBorder="1" applyAlignment="1" applyProtection="1">
      <alignment horizontal="center" vertical="center"/>
      <protection hidden="1"/>
    </xf>
    <xf numFmtId="164" fontId="5" fillId="4" borderId="28" xfId="0" applyFont="1" applyFill="1" applyBorder="1" applyAlignment="1" applyProtection="1">
      <alignment horizontal="left" vertical="center"/>
      <protection hidden="1"/>
    </xf>
    <xf numFmtId="164" fontId="5" fillId="4" borderId="28" xfId="0" applyFont="1" applyFill="1" applyBorder="1" applyAlignment="1" applyProtection="1">
      <alignment horizontal="center" vertical="center"/>
      <protection hidden="1"/>
    </xf>
    <xf numFmtId="166" fontId="5" fillId="4" borderId="11" xfId="0" applyNumberFormat="1" applyFont="1" applyFill="1" applyBorder="1" applyAlignment="1" applyProtection="1">
      <alignment horizontal="center" vertical="center"/>
      <protection hidden="1"/>
    </xf>
    <xf numFmtId="166" fontId="5" fillId="4" borderId="49" xfId="0" applyNumberFormat="1" applyFont="1" applyFill="1" applyBorder="1" applyAlignment="1" applyProtection="1">
      <alignment horizontal="center" vertical="center"/>
      <protection hidden="1"/>
    </xf>
    <xf numFmtId="165" fontId="6" fillId="4" borderId="49" xfId="0" applyNumberFormat="1" applyFont="1" applyFill="1" applyBorder="1" applyAlignment="1" applyProtection="1">
      <alignment horizontal="center" vertical="center"/>
      <protection hidden="1"/>
    </xf>
    <xf numFmtId="165" fontId="5" fillId="4" borderId="49" xfId="0" applyNumberFormat="1" applyFont="1" applyFill="1" applyBorder="1" applyAlignment="1" applyProtection="1">
      <alignment horizontal="center" vertical="center"/>
      <protection hidden="1"/>
    </xf>
    <xf numFmtId="165" fontId="5" fillId="4" borderId="30" xfId="0" applyNumberFormat="1" applyFont="1" applyFill="1" applyBorder="1" applyAlignment="1" applyProtection="1">
      <alignment horizontal="center" vertical="center"/>
      <protection hidden="1"/>
    </xf>
    <xf numFmtId="165" fontId="5" fillId="4" borderId="11" xfId="0" applyNumberFormat="1" applyFont="1" applyFill="1" applyBorder="1" applyAlignment="1" applyProtection="1">
      <alignment horizontal="center" vertical="center"/>
      <protection hidden="1"/>
    </xf>
    <xf numFmtId="165" fontId="6" fillId="4" borderId="28" xfId="0" applyNumberFormat="1" applyFont="1" applyFill="1" applyBorder="1" applyAlignment="1" applyProtection="1">
      <alignment horizontal="center" vertical="center"/>
      <protection hidden="1"/>
    </xf>
    <xf numFmtId="165" fontId="6" fillId="4" borderId="32" xfId="0" applyNumberFormat="1" applyFont="1" applyFill="1" applyBorder="1" applyAlignment="1" applyProtection="1">
      <alignment horizontal="center" vertical="center"/>
      <protection hidden="1"/>
    </xf>
    <xf numFmtId="165" fontId="6" fillId="4" borderId="30" xfId="0" applyNumberFormat="1" applyFont="1" applyFill="1" applyBorder="1" applyAlignment="1" applyProtection="1">
      <alignment horizontal="center" vertical="center"/>
      <protection hidden="1"/>
    </xf>
    <xf numFmtId="165" fontId="6" fillId="4" borderId="33" xfId="0" applyNumberFormat="1" applyFont="1" applyFill="1" applyBorder="1" applyAlignment="1" applyProtection="1">
      <alignment horizontal="center" vertical="center"/>
      <protection hidden="1"/>
    </xf>
    <xf numFmtId="165" fontId="21" fillId="4" borderId="33" xfId="0" applyNumberFormat="1" applyFont="1" applyFill="1" applyBorder="1" applyAlignment="1" applyProtection="1">
      <alignment horizontal="center" vertical="center"/>
      <protection hidden="1"/>
    </xf>
    <xf numFmtId="165" fontId="21" fillId="4" borderId="28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6" fontId="5" fillId="0" borderId="69" xfId="0" applyNumberFormat="1" applyFont="1" applyBorder="1" applyAlignment="1" applyProtection="1">
      <alignment horizontal="center" vertical="center"/>
      <protection hidden="1"/>
    </xf>
    <xf numFmtId="166" fontId="0" fillId="3" borderId="22" xfId="0" applyNumberFormat="1" applyFont="1" applyFill="1" applyBorder="1" applyAlignment="1">
      <alignment horizontal="center"/>
    </xf>
    <xf numFmtId="166" fontId="5" fillId="3" borderId="70" xfId="0" applyNumberFormat="1" applyFont="1" applyFill="1" applyBorder="1" applyAlignment="1" applyProtection="1">
      <alignment horizontal="center" vertical="center"/>
      <protection hidden="1"/>
    </xf>
    <xf numFmtId="166" fontId="0" fillId="0" borderId="22" xfId="0" applyNumberFormat="1" applyFont="1" applyBorder="1" applyAlignment="1">
      <alignment horizontal="center"/>
    </xf>
    <xf numFmtId="166" fontId="5" fillId="0" borderId="70" xfId="0" applyNumberFormat="1" applyFont="1" applyBorder="1" applyAlignment="1" applyProtection="1">
      <alignment horizontal="center" vertical="center"/>
      <protection hidden="1"/>
    </xf>
    <xf numFmtId="164" fontId="5" fillId="3" borderId="29" xfId="0" applyFont="1" applyFill="1" applyBorder="1" applyAlignment="1" applyProtection="1">
      <alignment horizontal="left" vertical="center"/>
      <protection hidden="1"/>
    </xf>
    <xf numFmtId="164" fontId="5" fillId="3" borderId="29" xfId="0" applyFont="1" applyFill="1" applyBorder="1" applyAlignment="1" applyProtection="1">
      <alignment horizontal="center" vertical="center"/>
      <protection hidden="1"/>
    </xf>
    <xf numFmtId="166" fontId="0" fillId="3" borderId="28" xfId="0" applyNumberFormat="1" applyFont="1" applyFill="1" applyBorder="1" applyAlignment="1">
      <alignment horizontal="center"/>
    </xf>
    <xf numFmtId="166" fontId="5" fillId="3" borderId="71" xfId="0" applyNumberFormat="1" applyFont="1" applyFill="1" applyBorder="1" applyAlignment="1" applyProtection="1">
      <alignment horizontal="center" vertical="center"/>
      <protection hidden="1"/>
    </xf>
    <xf numFmtId="166" fontId="5" fillId="3" borderId="49" xfId="0" applyNumberFormat="1" applyFont="1" applyFill="1" applyBorder="1" applyAlignment="1" applyProtection="1">
      <alignment horizontal="center" vertical="center"/>
      <protection hidden="1"/>
    </xf>
    <xf numFmtId="165" fontId="6" fillId="3" borderId="49" xfId="0" applyNumberFormat="1" applyFont="1" applyFill="1" applyBorder="1" applyAlignment="1" applyProtection="1">
      <alignment horizontal="center" vertical="center"/>
      <protection hidden="1"/>
    </xf>
    <xf numFmtId="165" fontId="5" fillId="3" borderId="49" xfId="0" applyNumberFormat="1" applyFont="1" applyFill="1" applyBorder="1" applyAlignment="1" applyProtection="1">
      <alignment horizontal="center" vertical="center"/>
      <protection hidden="1"/>
    </xf>
    <xf numFmtId="165" fontId="5" fillId="3" borderId="30" xfId="0" applyNumberFormat="1" applyFont="1" applyFill="1" applyBorder="1" applyAlignment="1" applyProtection="1">
      <alignment horizontal="center" vertical="center"/>
      <protection hidden="1"/>
    </xf>
    <xf numFmtId="165" fontId="6" fillId="3" borderId="28" xfId="0" applyNumberFormat="1" applyFont="1" applyFill="1" applyBorder="1" applyAlignment="1" applyProtection="1">
      <alignment horizontal="center" vertical="center"/>
      <protection hidden="1"/>
    </xf>
    <xf numFmtId="165" fontId="6" fillId="3" borderId="32" xfId="0" applyNumberFormat="1" applyFont="1" applyFill="1" applyBorder="1" applyAlignment="1" applyProtection="1">
      <alignment horizontal="center" vertical="center"/>
      <protection hidden="1"/>
    </xf>
    <xf numFmtId="165" fontId="6" fillId="3" borderId="30" xfId="0" applyNumberFormat="1" applyFont="1" applyFill="1" applyBorder="1" applyAlignment="1" applyProtection="1">
      <alignment horizontal="center" vertical="center"/>
      <protection hidden="1"/>
    </xf>
    <xf numFmtId="165" fontId="6" fillId="3" borderId="33" xfId="0" applyNumberFormat="1" applyFont="1" applyFill="1" applyBorder="1" applyAlignment="1" applyProtection="1">
      <alignment horizontal="center" vertical="center"/>
      <protection hidden="1"/>
    </xf>
    <xf numFmtId="165" fontId="21" fillId="3" borderId="33" xfId="0" applyNumberFormat="1" applyFont="1" applyFill="1" applyBorder="1" applyAlignment="1" applyProtection="1">
      <alignment horizontal="center" vertical="center"/>
      <protection hidden="1"/>
    </xf>
    <xf numFmtId="165" fontId="21" fillId="3" borderId="28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</cols>
  <sheetData>
    <row r="1" ht="6" customHeight="1"/>
    <row r="2" spans="1:17" ht="24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"/>
      <c r="B4" s="4"/>
      <c r="C4" s="6" t="s">
        <v>1</v>
      </c>
      <c r="D4" s="6"/>
      <c r="E4" s="6"/>
      <c r="F4" s="6"/>
      <c r="G4" s="6"/>
      <c r="H4" s="4"/>
      <c r="I4" s="6" t="s">
        <v>2</v>
      </c>
      <c r="J4" s="6"/>
      <c r="K4" s="6"/>
      <c r="L4" s="6"/>
      <c r="M4" s="6"/>
      <c r="N4" s="6"/>
      <c r="O4" s="6"/>
      <c r="P4" s="7"/>
      <c r="Q4" s="4"/>
    </row>
    <row r="5" spans="1:17" ht="7.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4"/>
      <c r="P5" s="7"/>
      <c r="Q5" s="4"/>
    </row>
    <row r="6" spans="1:17" ht="17.25">
      <c r="A6" s="8"/>
      <c r="B6" s="9"/>
      <c r="C6" s="10" t="s">
        <v>3</v>
      </c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3"/>
      <c r="P6" s="14"/>
      <c r="Q6" s="13"/>
    </row>
    <row r="7" spans="1:17" ht="90" customHeight="1">
      <c r="A7" s="15"/>
      <c r="B7" s="16" t="s">
        <v>4</v>
      </c>
      <c r="C7" s="16" t="s">
        <v>5</v>
      </c>
      <c r="D7" s="16" t="s">
        <v>6</v>
      </c>
      <c r="E7" s="17" t="s">
        <v>7</v>
      </c>
      <c r="F7" s="18" t="s">
        <v>8</v>
      </c>
      <c r="G7" s="18"/>
      <c r="H7" s="19" t="s">
        <v>9</v>
      </c>
      <c r="I7" s="19"/>
      <c r="J7" s="17" t="s">
        <v>10</v>
      </c>
      <c r="K7" s="17"/>
      <c r="L7" s="20" t="s">
        <v>11</v>
      </c>
      <c r="M7" s="20"/>
      <c r="N7" s="20"/>
      <c r="O7" s="21" t="s">
        <v>12</v>
      </c>
      <c r="P7" s="22"/>
      <c r="Q7" s="23" t="s">
        <v>13</v>
      </c>
    </row>
    <row r="8" spans="1:17" ht="12.75" customHeight="1">
      <c r="A8" s="24"/>
      <c r="B8" s="16"/>
      <c r="C8" s="16"/>
      <c r="D8" s="16"/>
      <c r="E8" s="25" t="s">
        <v>14</v>
      </c>
      <c r="F8" s="26" t="s">
        <v>15</v>
      </c>
      <c r="G8" s="25" t="s">
        <v>14</v>
      </c>
      <c r="H8" s="26" t="s">
        <v>15</v>
      </c>
      <c r="I8" s="27" t="s">
        <v>14</v>
      </c>
      <c r="J8" s="28" t="s">
        <v>16</v>
      </c>
      <c r="K8" s="27" t="s">
        <v>14</v>
      </c>
      <c r="L8" s="29" t="s">
        <v>17</v>
      </c>
      <c r="M8" s="25" t="s">
        <v>14</v>
      </c>
      <c r="N8" s="30"/>
      <c r="O8" s="21"/>
      <c r="P8" s="30"/>
      <c r="Q8" s="23"/>
    </row>
    <row r="9" spans="1:17" ht="12.75">
      <c r="A9" s="24"/>
      <c r="B9" s="16"/>
      <c r="C9" s="16"/>
      <c r="D9" s="16"/>
      <c r="E9" s="25"/>
      <c r="F9" s="31" t="s">
        <v>18</v>
      </c>
      <c r="G9" s="25"/>
      <c r="H9" s="32" t="s">
        <v>18</v>
      </c>
      <c r="I9" s="27"/>
      <c r="J9" s="28"/>
      <c r="K9" s="27"/>
      <c r="L9" s="31" t="s">
        <v>19</v>
      </c>
      <c r="M9" s="25"/>
      <c r="N9" s="30"/>
      <c r="O9" s="21"/>
      <c r="P9" s="30"/>
      <c r="Q9" s="23"/>
    </row>
    <row r="10" spans="1:17" ht="12.75" customHeight="1">
      <c r="A10" s="33"/>
      <c r="B10" s="34">
        <v>1</v>
      </c>
      <c r="C10" s="35" t="s">
        <v>20</v>
      </c>
      <c r="D10" s="36" t="s">
        <v>21</v>
      </c>
      <c r="E10" s="37" t="s">
        <v>22</v>
      </c>
      <c r="F10" s="38">
        <v>32.82</v>
      </c>
      <c r="G10" s="39">
        <v>1</v>
      </c>
      <c r="H10" s="38">
        <v>68.09</v>
      </c>
      <c r="I10" s="39">
        <v>1</v>
      </c>
      <c r="J10" s="40">
        <v>1</v>
      </c>
      <c r="K10" s="41">
        <v>1</v>
      </c>
      <c r="L10" s="42">
        <v>99.94</v>
      </c>
      <c r="M10" s="41">
        <v>1</v>
      </c>
      <c r="N10" s="43"/>
      <c r="O10" s="44">
        <v>4</v>
      </c>
      <c r="P10" s="43"/>
      <c r="Q10" s="45">
        <v>1</v>
      </c>
    </row>
    <row r="11" spans="1:17" ht="12.75">
      <c r="A11" s="33"/>
      <c r="B11" s="34"/>
      <c r="C11" s="35"/>
      <c r="D11" s="36"/>
      <c r="E11" s="37"/>
      <c r="F11" s="46"/>
      <c r="G11" s="39"/>
      <c r="H11" s="46">
        <v>70.39</v>
      </c>
      <c r="I11" s="39"/>
      <c r="J11" s="40"/>
      <c r="K11" s="41"/>
      <c r="L11" s="42"/>
      <c r="M11" s="41"/>
      <c r="N11" s="43"/>
      <c r="O11" s="44"/>
      <c r="P11" s="43"/>
      <c r="Q11" s="45"/>
    </row>
    <row r="12" spans="1:17" ht="12.75" customHeight="1">
      <c r="A12" s="33"/>
      <c r="B12" s="47">
        <v>2</v>
      </c>
      <c r="C12" s="48" t="s">
        <v>23</v>
      </c>
      <c r="D12" s="49" t="s">
        <v>24</v>
      </c>
      <c r="E12" s="50" t="s">
        <v>22</v>
      </c>
      <c r="F12" s="51" t="s">
        <v>25</v>
      </c>
      <c r="G12" s="52">
        <v>4</v>
      </c>
      <c r="H12" s="51">
        <v>75.31</v>
      </c>
      <c r="I12" s="52">
        <v>2</v>
      </c>
      <c r="J12" s="53">
        <v>3</v>
      </c>
      <c r="K12" s="54">
        <v>2</v>
      </c>
      <c r="L12" s="55">
        <v>104.77</v>
      </c>
      <c r="M12" s="54">
        <v>2</v>
      </c>
      <c r="N12" s="56"/>
      <c r="O12" s="57">
        <v>10</v>
      </c>
      <c r="P12" s="56"/>
      <c r="Q12" s="58">
        <v>2</v>
      </c>
    </row>
    <row r="13" spans="1:17" ht="12.75">
      <c r="A13" s="33"/>
      <c r="B13" s="47"/>
      <c r="C13" s="48"/>
      <c r="D13" s="49"/>
      <c r="E13" s="50"/>
      <c r="F13" s="55"/>
      <c r="G13" s="52"/>
      <c r="H13" s="55">
        <v>73.39</v>
      </c>
      <c r="I13" s="52"/>
      <c r="J13" s="53"/>
      <c r="K13" s="54"/>
      <c r="L13" s="55"/>
      <c r="M13" s="54"/>
      <c r="N13" s="56"/>
      <c r="O13" s="57"/>
      <c r="P13" s="56"/>
      <c r="Q13" s="58"/>
    </row>
    <row r="14" spans="1:17" ht="12.75" customHeight="1">
      <c r="A14" s="33"/>
      <c r="B14" s="59">
        <v>3</v>
      </c>
      <c r="C14" s="60" t="s">
        <v>26</v>
      </c>
      <c r="D14" s="61" t="s">
        <v>21</v>
      </c>
      <c r="E14" s="62" t="s">
        <v>22</v>
      </c>
      <c r="F14" s="46">
        <v>51.86</v>
      </c>
      <c r="G14" s="63">
        <v>2</v>
      </c>
      <c r="H14" s="46">
        <v>77.97</v>
      </c>
      <c r="I14" s="63">
        <v>3</v>
      </c>
      <c r="J14" s="64">
        <v>7</v>
      </c>
      <c r="K14" s="65">
        <v>3</v>
      </c>
      <c r="L14" s="46">
        <v>124.71</v>
      </c>
      <c r="M14" s="65">
        <v>3</v>
      </c>
      <c r="N14" s="66"/>
      <c r="O14" s="67">
        <v>11</v>
      </c>
      <c r="P14" s="66"/>
      <c r="Q14" s="68">
        <v>3</v>
      </c>
    </row>
    <row r="15" spans="1:17" ht="12.75">
      <c r="A15" s="33"/>
      <c r="B15" s="59"/>
      <c r="C15" s="60"/>
      <c r="D15" s="61"/>
      <c r="E15" s="62"/>
      <c r="F15" s="46"/>
      <c r="G15" s="63"/>
      <c r="H15" s="46">
        <v>86.87</v>
      </c>
      <c r="I15" s="63"/>
      <c r="J15" s="64"/>
      <c r="K15" s="65"/>
      <c r="L15" s="46"/>
      <c r="M15" s="65"/>
      <c r="N15" s="66"/>
      <c r="O15" s="67"/>
      <c r="P15" s="66"/>
      <c r="Q15" s="68"/>
    </row>
    <row r="16" spans="1:17" ht="12.75" customHeight="1">
      <c r="A16" s="11"/>
      <c r="B16" s="69">
        <v>4</v>
      </c>
      <c r="C16" s="70" t="s">
        <v>27</v>
      </c>
      <c r="D16" s="71" t="s">
        <v>21</v>
      </c>
      <c r="E16" s="72" t="s">
        <v>22</v>
      </c>
      <c r="F16" s="55">
        <v>93.98</v>
      </c>
      <c r="G16" s="73">
        <v>3</v>
      </c>
      <c r="H16" s="55">
        <v>87.48</v>
      </c>
      <c r="I16" s="73">
        <v>4</v>
      </c>
      <c r="J16" s="74">
        <v>20</v>
      </c>
      <c r="K16" s="75">
        <v>4</v>
      </c>
      <c r="L16" s="76">
        <v>151.27</v>
      </c>
      <c r="M16" s="75">
        <v>4</v>
      </c>
      <c r="N16" s="77"/>
      <c r="O16" s="78">
        <v>15</v>
      </c>
      <c r="P16" s="77"/>
      <c r="Q16" s="79">
        <v>4</v>
      </c>
    </row>
    <row r="17" spans="1:17" ht="12.75" customHeight="1">
      <c r="A17" s="11"/>
      <c r="B17" s="69"/>
      <c r="C17" s="70"/>
      <c r="D17" s="71"/>
      <c r="E17" s="72"/>
      <c r="F17" s="76"/>
      <c r="G17" s="73"/>
      <c r="H17" s="76" t="s">
        <v>25</v>
      </c>
      <c r="I17" s="73"/>
      <c r="J17" s="74"/>
      <c r="K17" s="75"/>
      <c r="L17" s="76"/>
      <c r="M17" s="75"/>
      <c r="N17" s="77"/>
      <c r="O17" s="78"/>
      <c r="P17" s="77"/>
      <c r="Q17" s="79"/>
    </row>
    <row r="18" spans="1:17" ht="12.75" customHeight="1">
      <c r="A18" s="11"/>
      <c r="B18" s="80"/>
      <c r="C18" s="81"/>
      <c r="D18" s="82"/>
      <c r="E18" s="83"/>
      <c r="F18" s="84"/>
      <c r="G18" s="83"/>
      <c r="H18" s="84"/>
      <c r="I18" s="83"/>
      <c r="J18" s="80"/>
      <c r="K18" s="83"/>
      <c r="L18" s="84"/>
      <c r="M18" s="83"/>
      <c r="N18" s="83"/>
      <c r="O18" s="85"/>
      <c r="P18" s="83"/>
      <c r="Q18" s="86"/>
    </row>
    <row r="19" spans="1:17" ht="12.75" customHeight="1">
      <c r="A19" s="11"/>
      <c r="B19" s="80"/>
      <c r="C19" s="81"/>
      <c r="D19" s="82"/>
      <c r="E19" s="83"/>
      <c r="F19" s="84"/>
      <c r="G19" s="83"/>
      <c r="H19" s="84"/>
      <c r="I19" s="83"/>
      <c r="J19" s="80"/>
      <c r="K19" s="83"/>
      <c r="L19" s="84"/>
      <c r="M19" s="83"/>
      <c r="N19" s="83"/>
      <c r="O19" s="85"/>
      <c r="P19" s="83"/>
      <c r="Q19" s="86"/>
    </row>
    <row r="21" spans="1:17" ht="17.25">
      <c r="A21" s="8"/>
      <c r="B21" s="9"/>
      <c r="C21" s="10" t="s">
        <v>28</v>
      </c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3"/>
      <c r="P21" s="14"/>
      <c r="Q21" s="13"/>
    </row>
    <row r="22" spans="1:17" ht="90" customHeight="1">
      <c r="A22" s="15"/>
      <c r="B22" s="16" t="s">
        <v>4</v>
      </c>
      <c r="C22" s="16" t="s">
        <v>5</v>
      </c>
      <c r="D22" s="16" t="s">
        <v>6</v>
      </c>
      <c r="E22" s="17" t="s">
        <v>7</v>
      </c>
      <c r="F22" s="18" t="s">
        <v>8</v>
      </c>
      <c r="G22" s="18"/>
      <c r="H22" s="19" t="s">
        <v>9</v>
      </c>
      <c r="I22" s="19"/>
      <c r="J22" s="17" t="s">
        <v>10</v>
      </c>
      <c r="K22" s="17"/>
      <c r="L22" s="20" t="s">
        <v>11</v>
      </c>
      <c r="M22" s="20"/>
      <c r="N22" s="20"/>
      <c r="O22" s="21" t="s">
        <v>12</v>
      </c>
      <c r="P22" s="22"/>
      <c r="Q22" s="23" t="s">
        <v>13</v>
      </c>
    </row>
    <row r="23" spans="1:17" ht="12.75" customHeight="1">
      <c r="A23" s="24"/>
      <c r="B23" s="16"/>
      <c r="C23" s="16"/>
      <c r="D23" s="16"/>
      <c r="E23" s="25" t="s">
        <v>14</v>
      </c>
      <c r="F23" s="26" t="s">
        <v>15</v>
      </c>
      <c r="G23" s="25" t="s">
        <v>14</v>
      </c>
      <c r="H23" s="26" t="s">
        <v>15</v>
      </c>
      <c r="I23" s="27" t="s">
        <v>14</v>
      </c>
      <c r="J23" s="28" t="s">
        <v>16</v>
      </c>
      <c r="K23" s="27" t="s">
        <v>14</v>
      </c>
      <c r="L23" s="29" t="s">
        <v>17</v>
      </c>
      <c r="M23" s="25" t="s">
        <v>14</v>
      </c>
      <c r="N23" s="30"/>
      <c r="O23" s="21"/>
      <c r="P23" s="30"/>
      <c r="Q23" s="23"/>
    </row>
    <row r="24" spans="1:17" ht="12.75">
      <c r="A24" s="24"/>
      <c r="B24" s="16"/>
      <c r="C24" s="16"/>
      <c r="D24" s="16"/>
      <c r="E24" s="25"/>
      <c r="F24" s="31" t="s">
        <v>18</v>
      </c>
      <c r="G24" s="25"/>
      <c r="H24" s="32" t="s">
        <v>18</v>
      </c>
      <c r="I24" s="27"/>
      <c r="J24" s="28"/>
      <c r="K24" s="27"/>
      <c r="L24" s="31" t="s">
        <v>19</v>
      </c>
      <c r="M24" s="25"/>
      <c r="N24" s="30"/>
      <c r="O24" s="21"/>
      <c r="P24" s="30"/>
      <c r="Q24" s="23"/>
    </row>
    <row r="25" spans="1:17" ht="12.75" customHeight="1">
      <c r="A25" s="33"/>
      <c r="B25" s="34">
        <v>1</v>
      </c>
      <c r="C25" s="35" t="s">
        <v>23</v>
      </c>
      <c r="D25" s="36" t="s">
        <v>24</v>
      </c>
      <c r="E25" s="37">
        <v>0</v>
      </c>
      <c r="F25" s="38" t="s">
        <v>25</v>
      </c>
      <c r="G25" s="39">
        <v>3</v>
      </c>
      <c r="H25" s="38">
        <v>79.88</v>
      </c>
      <c r="I25" s="39">
        <v>1</v>
      </c>
      <c r="J25" s="40">
        <v>0</v>
      </c>
      <c r="K25" s="41">
        <v>1</v>
      </c>
      <c r="L25" s="42">
        <v>120.96</v>
      </c>
      <c r="M25" s="41">
        <v>1</v>
      </c>
      <c r="N25" s="43"/>
      <c r="O25" s="44">
        <v>6</v>
      </c>
      <c r="P25" s="43"/>
      <c r="Q25" s="45">
        <v>1</v>
      </c>
    </row>
    <row r="26" spans="1:17" ht="12.75">
      <c r="A26" s="33"/>
      <c r="B26" s="34"/>
      <c r="C26" s="35"/>
      <c r="D26" s="36"/>
      <c r="E26" s="37"/>
      <c r="F26" s="46"/>
      <c r="G26" s="39"/>
      <c r="H26" s="46">
        <v>78.78</v>
      </c>
      <c r="I26" s="39"/>
      <c r="J26" s="40"/>
      <c r="K26" s="41"/>
      <c r="L26" s="42"/>
      <c r="M26" s="41"/>
      <c r="N26" s="43"/>
      <c r="O26" s="44"/>
      <c r="P26" s="43"/>
      <c r="Q26" s="45"/>
    </row>
    <row r="27" spans="1:17" ht="12.75" customHeight="1">
      <c r="A27" s="33"/>
      <c r="B27" s="47">
        <v>2</v>
      </c>
      <c r="C27" s="48" t="s">
        <v>29</v>
      </c>
      <c r="D27" s="49" t="s">
        <v>21</v>
      </c>
      <c r="E27" s="50">
        <v>0</v>
      </c>
      <c r="F27" s="51">
        <v>33.38</v>
      </c>
      <c r="G27" s="52">
        <v>1</v>
      </c>
      <c r="H27" s="51" t="s">
        <v>25</v>
      </c>
      <c r="I27" s="52">
        <v>3</v>
      </c>
      <c r="J27" s="53">
        <v>2</v>
      </c>
      <c r="K27" s="54">
        <v>2</v>
      </c>
      <c r="L27" s="55">
        <v>128.59</v>
      </c>
      <c r="M27" s="54">
        <v>2</v>
      </c>
      <c r="N27" s="56"/>
      <c r="O27" s="57">
        <v>8</v>
      </c>
      <c r="P27" s="56"/>
      <c r="Q27" s="58">
        <v>2</v>
      </c>
    </row>
    <row r="28" spans="1:17" ht="12.75">
      <c r="A28" s="33"/>
      <c r="B28" s="47"/>
      <c r="C28" s="48"/>
      <c r="D28" s="49"/>
      <c r="E28" s="50"/>
      <c r="F28" s="55"/>
      <c r="G28" s="52"/>
      <c r="H28" s="55">
        <v>94.57</v>
      </c>
      <c r="I28" s="52"/>
      <c r="J28" s="53"/>
      <c r="K28" s="54"/>
      <c r="L28" s="55"/>
      <c r="M28" s="54"/>
      <c r="N28" s="56"/>
      <c r="O28" s="57"/>
      <c r="P28" s="56"/>
      <c r="Q28" s="58"/>
    </row>
    <row r="29" spans="1:17" ht="12.75" customHeight="1">
      <c r="A29" s="33"/>
      <c r="B29" s="87">
        <v>3</v>
      </c>
      <c r="C29" s="88" t="s">
        <v>30</v>
      </c>
      <c r="D29" s="89" t="s">
        <v>24</v>
      </c>
      <c r="E29" s="90">
        <v>0</v>
      </c>
      <c r="F29" s="46">
        <v>43.88</v>
      </c>
      <c r="G29" s="91">
        <v>2</v>
      </c>
      <c r="H29" s="46">
        <v>79.58</v>
      </c>
      <c r="I29" s="91">
        <v>2</v>
      </c>
      <c r="J29" s="92">
        <v>3</v>
      </c>
      <c r="K29" s="93">
        <v>3</v>
      </c>
      <c r="L29" s="94">
        <v>149.19</v>
      </c>
      <c r="M29" s="93">
        <v>3</v>
      </c>
      <c r="N29" s="95"/>
      <c r="O29" s="96">
        <v>10</v>
      </c>
      <c r="P29" s="95"/>
      <c r="Q29" s="97">
        <v>3</v>
      </c>
    </row>
    <row r="30" spans="1:17" ht="12.75">
      <c r="A30" s="33"/>
      <c r="B30" s="87"/>
      <c r="C30" s="88"/>
      <c r="D30" s="89"/>
      <c r="E30" s="90"/>
      <c r="F30" s="94"/>
      <c r="G30" s="91"/>
      <c r="H30" s="94" t="s">
        <v>25</v>
      </c>
      <c r="I30" s="91"/>
      <c r="J30" s="92"/>
      <c r="K30" s="93"/>
      <c r="L30" s="94"/>
      <c r="M30" s="93"/>
      <c r="N30" s="95"/>
      <c r="O30" s="96"/>
      <c r="P30" s="95"/>
      <c r="Q30" s="97"/>
    </row>
  </sheetData>
  <sheetProtection selectLockedCells="1" selectUnlockedCells="1"/>
  <mergeCells count="149">
    <mergeCell ref="B2:Q2"/>
    <mergeCell ref="C4:G4"/>
    <mergeCell ref="I4:O4"/>
    <mergeCell ref="F6:G6"/>
    <mergeCell ref="H6:I6"/>
    <mergeCell ref="J6:K6"/>
    <mergeCell ref="L6:M6"/>
    <mergeCell ref="B7:B9"/>
    <mergeCell ref="C7:C9"/>
    <mergeCell ref="D7:D9"/>
    <mergeCell ref="F7:G7"/>
    <mergeCell ref="H7:I7"/>
    <mergeCell ref="J7:K7"/>
    <mergeCell ref="L7:M7"/>
    <mergeCell ref="O7:O9"/>
    <mergeCell ref="Q7:Q9"/>
    <mergeCell ref="E8:E9"/>
    <mergeCell ref="G8:G9"/>
    <mergeCell ref="I8:I9"/>
    <mergeCell ref="J8:J9"/>
    <mergeCell ref="K8:K9"/>
    <mergeCell ref="M8:M9"/>
    <mergeCell ref="N8:N9"/>
    <mergeCell ref="P8:P9"/>
    <mergeCell ref="A10:A11"/>
    <mergeCell ref="B10:B11"/>
    <mergeCell ref="C10:C11"/>
    <mergeCell ref="D10:D11"/>
    <mergeCell ref="E10:E11"/>
    <mergeCell ref="G10:G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B12:B13"/>
    <mergeCell ref="C12:C13"/>
    <mergeCell ref="D12:D13"/>
    <mergeCell ref="E12:E13"/>
    <mergeCell ref="G12:G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B14:B15"/>
    <mergeCell ref="C14:C15"/>
    <mergeCell ref="D14:D15"/>
    <mergeCell ref="E14:E15"/>
    <mergeCell ref="G14:G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16:B17"/>
    <mergeCell ref="C16:C17"/>
    <mergeCell ref="D16:D17"/>
    <mergeCell ref="E16:E17"/>
    <mergeCell ref="G16:G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F21:G21"/>
    <mergeCell ref="H21:I21"/>
    <mergeCell ref="J21:K21"/>
    <mergeCell ref="L21:M21"/>
    <mergeCell ref="B22:B24"/>
    <mergeCell ref="C22:C24"/>
    <mergeCell ref="D22:D24"/>
    <mergeCell ref="F22:G22"/>
    <mergeCell ref="H22:I22"/>
    <mergeCell ref="J22:K22"/>
    <mergeCell ref="L22:M22"/>
    <mergeCell ref="O22:O24"/>
    <mergeCell ref="Q22:Q24"/>
    <mergeCell ref="E23:E24"/>
    <mergeCell ref="G23:G24"/>
    <mergeCell ref="I23:I24"/>
    <mergeCell ref="J23:J24"/>
    <mergeCell ref="K23:K24"/>
    <mergeCell ref="M23:M24"/>
    <mergeCell ref="N23:N24"/>
    <mergeCell ref="P23:P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6">
      <selection activeCell="C43" sqref="C43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24.28125" style="0" customWidth="1"/>
    <col min="4" max="4" width="20.00390625" style="0" customWidth="1"/>
    <col min="5" max="5" width="5.7109375" style="0" customWidth="1"/>
    <col min="6" max="7" width="8.00390625" style="0" customWidth="1"/>
    <col min="8" max="8" width="9.28125" style="0" customWidth="1"/>
    <col min="9" max="9" width="7.57421875" style="0" customWidth="1"/>
    <col min="10" max="10" width="4.7109375" style="0" customWidth="1"/>
    <col min="11" max="11" width="0" style="0" hidden="1" customWidth="1"/>
    <col min="12" max="12" width="7.57421875" style="0" customWidth="1"/>
    <col min="13" max="13" width="0" style="0" hidden="1" customWidth="1"/>
    <col min="14" max="14" width="7.57421875" style="0" customWidth="1"/>
    <col min="16" max="18" width="10.7109375" style="0" customWidth="1"/>
  </cols>
  <sheetData>
    <row r="2" spans="2:14" ht="24.75">
      <c r="B2" s="98" t="s">
        <v>31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3:5" ht="19.5">
      <c r="C4" s="99" t="s">
        <v>32</v>
      </c>
      <c r="D4" s="99"/>
      <c r="E4" s="99"/>
    </row>
    <row r="6" ht="17.25">
      <c r="C6" s="100" t="s">
        <v>33</v>
      </c>
    </row>
    <row r="8" spans="2:14" ht="27.75">
      <c r="B8" s="101" t="s">
        <v>34</v>
      </c>
      <c r="C8" s="102" t="s">
        <v>35</v>
      </c>
      <c r="D8" s="102" t="s">
        <v>36</v>
      </c>
      <c r="E8" s="103" t="s">
        <v>6</v>
      </c>
      <c r="F8" s="104" t="s">
        <v>37</v>
      </c>
      <c r="G8" s="104" t="s">
        <v>38</v>
      </c>
      <c r="H8" s="105" t="s">
        <v>39</v>
      </c>
      <c r="I8" s="106" t="s">
        <v>40</v>
      </c>
      <c r="J8" s="107" t="s">
        <v>41</v>
      </c>
      <c r="K8" s="108"/>
      <c r="L8" s="109" t="s">
        <v>42</v>
      </c>
      <c r="M8" s="108"/>
      <c r="N8" s="110" t="s">
        <v>43</v>
      </c>
    </row>
    <row r="9" spans="2:14" ht="15">
      <c r="B9" s="111">
        <v>1</v>
      </c>
      <c r="C9" s="112" t="s">
        <v>44</v>
      </c>
      <c r="D9" s="112" t="s">
        <v>20</v>
      </c>
      <c r="E9" s="113" t="s">
        <v>21</v>
      </c>
      <c r="F9" s="114" t="s">
        <v>25</v>
      </c>
      <c r="G9" s="113">
        <v>19</v>
      </c>
      <c r="H9" s="115" t="e">
        <f aca="true" t="shared" si="0" ref="H9:H43">IF(OR(N(F9),N(G9)),MIN(F9,G9),"NP")</f>
        <v>#VALUE!</v>
      </c>
      <c r="I9" s="116">
        <f aca="true" t="shared" si="1" ref="I9:I43">IF(N(H9),RANK(H9,H$9:H$43,1),COUNT(H$9:H$43)+1)</f>
        <v>28</v>
      </c>
      <c r="J9" s="117" t="s">
        <v>45</v>
      </c>
      <c r="K9" s="118">
        <f aca="true" t="shared" si="2" ref="K9:K43">IF(AND(E9="KO",J9="J"),H9,"")</f>
      </c>
      <c r="L9" s="119">
        <f aca="true" t="shared" si="3" ref="L9:L43">IF(K9&lt;&gt;"",IF(N(K9),RANK(K9,K$9:K$43,1),COUNT(K$9:K$43)+1),"")</f>
      </c>
      <c r="M9" s="118" t="e">
        <f aca="true" t="shared" si="4" ref="M9:M43">IF(AND(E9="KH",J9="J"),H9,"")</f>
        <v>#VALUE!</v>
      </c>
      <c r="N9" s="119">
        <f aca="true" t="shared" si="5" ref="N9:N43">IF(M9&lt;&gt;"",IF(N(M9),RANK(M9,M$9:M$43,1),COUNT(M$9:M$43)+1),"")</f>
      </c>
    </row>
    <row r="10" spans="2:14" ht="15">
      <c r="B10" s="120">
        <v>2</v>
      </c>
      <c r="C10" s="121" t="s">
        <v>46</v>
      </c>
      <c r="D10" s="121" t="s">
        <v>23</v>
      </c>
      <c r="E10" s="122" t="s">
        <v>24</v>
      </c>
      <c r="F10" s="123">
        <v>28.46</v>
      </c>
      <c r="G10" s="122">
        <v>24.67</v>
      </c>
      <c r="H10" s="124">
        <f t="shared" si="0"/>
        <v>24.67</v>
      </c>
      <c r="I10" s="125" t="e">
        <f t="shared" si="1"/>
        <v>#VALUE!</v>
      </c>
      <c r="J10" s="126"/>
      <c r="K10" s="118">
        <f t="shared" si="2"/>
      </c>
      <c r="L10" s="127">
        <f t="shared" si="3"/>
      </c>
      <c r="M10" s="118">
        <f t="shared" si="4"/>
      </c>
      <c r="N10" s="127">
        <f t="shared" si="5"/>
      </c>
    </row>
    <row r="11" spans="2:14" ht="15">
      <c r="B11" s="120">
        <v>3</v>
      </c>
      <c r="C11" s="121" t="s">
        <v>47</v>
      </c>
      <c r="D11" s="121" t="s">
        <v>26</v>
      </c>
      <c r="E11" s="122" t="s">
        <v>21</v>
      </c>
      <c r="F11" s="123">
        <v>28.66</v>
      </c>
      <c r="G11" s="122">
        <v>28.74</v>
      </c>
      <c r="H11" s="124">
        <f t="shared" si="0"/>
        <v>28.66</v>
      </c>
      <c r="I11" s="125" t="e">
        <f t="shared" si="1"/>
        <v>#VALUE!</v>
      </c>
      <c r="J11" s="126" t="s">
        <v>45</v>
      </c>
      <c r="K11" s="118">
        <f t="shared" si="2"/>
      </c>
      <c r="L11" s="127">
        <f t="shared" si="3"/>
      </c>
      <c r="M11" s="118">
        <f t="shared" si="4"/>
        <v>28.66</v>
      </c>
      <c r="N11" s="127" t="e">
        <f t="shared" si="5"/>
        <v>#VALUE!</v>
      </c>
    </row>
    <row r="12" spans="2:14" ht="15">
      <c r="B12" s="120">
        <v>4</v>
      </c>
      <c r="C12" s="128" t="s">
        <v>48</v>
      </c>
      <c r="D12" s="128" t="s">
        <v>27</v>
      </c>
      <c r="E12" s="129" t="s">
        <v>21</v>
      </c>
      <c r="F12" s="123">
        <v>28.06</v>
      </c>
      <c r="G12" s="122">
        <v>28.46</v>
      </c>
      <c r="H12" s="124">
        <f t="shared" si="0"/>
        <v>28.06</v>
      </c>
      <c r="I12" s="125" t="e">
        <f t="shared" si="1"/>
        <v>#VALUE!</v>
      </c>
      <c r="J12" s="126"/>
      <c r="K12" s="118">
        <f t="shared" si="2"/>
      </c>
      <c r="L12" s="127">
        <f t="shared" si="3"/>
      </c>
      <c r="M12" s="118">
        <f t="shared" si="4"/>
      </c>
      <c r="N12" s="127">
        <f t="shared" si="5"/>
      </c>
    </row>
    <row r="13" spans="2:14" ht="15">
      <c r="B13" s="120">
        <v>5</v>
      </c>
      <c r="C13" s="128" t="s">
        <v>49</v>
      </c>
      <c r="D13" s="121" t="s">
        <v>50</v>
      </c>
      <c r="E13" s="122" t="s">
        <v>24</v>
      </c>
      <c r="F13" s="130">
        <v>31.2</v>
      </c>
      <c r="G13" s="122">
        <v>26.76</v>
      </c>
      <c r="H13" s="124">
        <f t="shared" si="0"/>
        <v>26.76</v>
      </c>
      <c r="I13" s="125" t="e">
        <f t="shared" si="1"/>
        <v>#VALUE!</v>
      </c>
      <c r="J13" s="126" t="s">
        <v>45</v>
      </c>
      <c r="K13" s="118">
        <f t="shared" si="2"/>
        <v>26.76</v>
      </c>
      <c r="L13" s="127">
        <f t="shared" si="3"/>
        <v>1</v>
      </c>
      <c r="M13" s="118">
        <f t="shared" si="4"/>
      </c>
      <c r="N13" s="127">
        <f t="shared" si="5"/>
      </c>
    </row>
    <row r="14" spans="2:14" ht="15">
      <c r="B14" s="120">
        <v>6</v>
      </c>
      <c r="C14" s="121" t="s">
        <v>51</v>
      </c>
      <c r="D14" s="121" t="s">
        <v>20</v>
      </c>
      <c r="E14" s="122" t="s">
        <v>21</v>
      </c>
      <c r="F14" s="123">
        <v>20.15</v>
      </c>
      <c r="G14" s="122">
        <v>22.65</v>
      </c>
      <c r="H14" s="124">
        <f t="shared" si="0"/>
        <v>20.15</v>
      </c>
      <c r="I14" s="125" t="e">
        <f t="shared" si="1"/>
        <v>#VALUE!</v>
      </c>
      <c r="J14" s="126"/>
      <c r="K14" s="118">
        <f t="shared" si="2"/>
      </c>
      <c r="L14" s="127">
        <f t="shared" si="3"/>
      </c>
      <c r="M14" s="118">
        <f t="shared" si="4"/>
      </c>
      <c r="N14" s="127">
        <f t="shared" si="5"/>
      </c>
    </row>
    <row r="15" spans="2:14" ht="15">
      <c r="B15" s="120">
        <v>7</v>
      </c>
      <c r="C15" s="128" t="s">
        <v>52</v>
      </c>
      <c r="D15" s="128" t="s">
        <v>23</v>
      </c>
      <c r="E15" s="129" t="s">
        <v>24</v>
      </c>
      <c r="F15" s="123">
        <v>19.99</v>
      </c>
      <c r="G15" s="122">
        <v>18.84</v>
      </c>
      <c r="H15" s="124">
        <f t="shared" si="0"/>
        <v>18.84</v>
      </c>
      <c r="I15" s="125" t="e">
        <f t="shared" si="1"/>
        <v>#VALUE!</v>
      </c>
      <c r="J15" s="126"/>
      <c r="K15" s="118">
        <f t="shared" si="2"/>
      </c>
      <c r="L15" s="127">
        <f t="shared" si="3"/>
      </c>
      <c r="M15" s="118">
        <f t="shared" si="4"/>
      </c>
      <c r="N15" s="127">
        <f t="shared" si="5"/>
      </c>
    </row>
    <row r="16" spans="1:14" ht="15">
      <c r="A16" s="131"/>
      <c r="B16" s="120">
        <v>8</v>
      </c>
      <c r="C16" s="128" t="s">
        <v>53</v>
      </c>
      <c r="D16" s="128" t="s">
        <v>26</v>
      </c>
      <c r="E16" s="129" t="s">
        <v>21</v>
      </c>
      <c r="F16" s="130" t="s">
        <v>25</v>
      </c>
      <c r="G16" s="122">
        <v>23.3</v>
      </c>
      <c r="H16" s="124" t="e">
        <f t="shared" si="0"/>
        <v>#VALUE!</v>
      </c>
      <c r="I16" s="125">
        <f t="shared" si="1"/>
        <v>28</v>
      </c>
      <c r="J16" s="126" t="s">
        <v>45</v>
      </c>
      <c r="K16" s="118">
        <f t="shared" si="2"/>
      </c>
      <c r="L16" s="127">
        <f t="shared" si="3"/>
      </c>
      <c r="M16" s="118" t="e">
        <f t="shared" si="4"/>
        <v>#VALUE!</v>
      </c>
      <c r="N16" s="127">
        <f t="shared" si="5"/>
      </c>
    </row>
    <row r="17" spans="1:14" ht="15">
      <c r="A17" s="131"/>
      <c r="B17" s="120">
        <v>9</v>
      </c>
      <c r="C17" s="121" t="s">
        <v>54</v>
      </c>
      <c r="D17" s="121" t="s">
        <v>27</v>
      </c>
      <c r="E17" s="122" t="s">
        <v>21</v>
      </c>
      <c r="F17" s="130" t="s">
        <v>25</v>
      </c>
      <c r="G17" s="122">
        <v>47.92</v>
      </c>
      <c r="H17" s="124" t="e">
        <f t="shared" si="0"/>
        <v>#VALUE!</v>
      </c>
      <c r="I17" s="125">
        <f t="shared" si="1"/>
        <v>28</v>
      </c>
      <c r="J17" s="126"/>
      <c r="K17" s="118">
        <f t="shared" si="2"/>
      </c>
      <c r="L17" s="127">
        <f t="shared" si="3"/>
      </c>
      <c r="M17" s="118">
        <f t="shared" si="4"/>
      </c>
      <c r="N17" s="127">
        <f t="shared" si="5"/>
      </c>
    </row>
    <row r="18" spans="1:14" ht="15">
      <c r="A18" s="131"/>
      <c r="B18" s="120">
        <v>10</v>
      </c>
      <c r="C18" s="128" t="s">
        <v>55</v>
      </c>
      <c r="D18" s="128" t="s">
        <v>56</v>
      </c>
      <c r="E18" s="129" t="s">
        <v>21</v>
      </c>
      <c r="F18" s="130">
        <v>23.71</v>
      </c>
      <c r="G18" s="122">
        <v>22.33</v>
      </c>
      <c r="H18" s="124">
        <f t="shared" si="0"/>
        <v>22.33</v>
      </c>
      <c r="I18" s="125" t="e">
        <f t="shared" si="1"/>
        <v>#VALUE!</v>
      </c>
      <c r="J18" s="126" t="s">
        <v>45</v>
      </c>
      <c r="K18" s="118">
        <f t="shared" si="2"/>
      </c>
      <c r="L18" s="127">
        <f t="shared" si="3"/>
      </c>
      <c r="M18" s="118">
        <f t="shared" si="4"/>
        <v>22.33</v>
      </c>
      <c r="N18" s="127" t="e">
        <f t="shared" si="5"/>
        <v>#VALUE!</v>
      </c>
    </row>
    <row r="19" spans="1:14" ht="15">
      <c r="A19" s="131"/>
      <c r="B19" s="120">
        <v>11</v>
      </c>
      <c r="C19" s="128" t="s">
        <v>57</v>
      </c>
      <c r="D19" s="128" t="s">
        <v>20</v>
      </c>
      <c r="E19" s="129" t="s">
        <v>21</v>
      </c>
      <c r="F19" s="130">
        <v>20.16</v>
      </c>
      <c r="G19" s="122">
        <v>19.13</v>
      </c>
      <c r="H19" s="124">
        <f t="shared" si="0"/>
        <v>19.13</v>
      </c>
      <c r="I19" s="125" t="e">
        <f t="shared" si="1"/>
        <v>#VALUE!</v>
      </c>
      <c r="J19" s="126"/>
      <c r="K19" s="118">
        <f t="shared" si="2"/>
      </c>
      <c r="L19" s="127">
        <f t="shared" si="3"/>
      </c>
      <c r="M19" s="118">
        <f t="shared" si="4"/>
      </c>
      <c r="N19" s="127">
        <f t="shared" si="5"/>
      </c>
    </row>
    <row r="20" spans="1:14" ht="15">
      <c r="A20" s="131"/>
      <c r="B20" s="120">
        <v>12</v>
      </c>
      <c r="C20" s="128" t="s">
        <v>58</v>
      </c>
      <c r="D20" s="121" t="s">
        <v>23</v>
      </c>
      <c r="E20" s="122" t="s">
        <v>24</v>
      </c>
      <c r="F20" s="123">
        <v>22.36</v>
      </c>
      <c r="G20" s="122">
        <v>20.19</v>
      </c>
      <c r="H20" s="124">
        <f t="shared" si="0"/>
        <v>20.19</v>
      </c>
      <c r="I20" s="125" t="e">
        <f t="shared" si="1"/>
        <v>#VALUE!</v>
      </c>
      <c r="J20" s="126"/>
      <c r="K20" s="118">
        <f t="shared" si="2"/>
      </c>
      <c r="L20" s="127">
        <f t="shared" si="3"/>
      </c>
      <c r="M20" s="118">
        <f t="shared" si="4"/>
      </c>
      <c r="N20" s="127">
        <f t="shared" si="5"/>
      </c>
    </row>
    <row r="21" spans="1:14" ht="15">
      <c r="A21" s="131"/>
      <c r="B21" s="120">
        <v>13</v>
      </c>
      <c r="C21" s="128" t="s">
        <v>59</v>
      </c>
      <c r="D21" s="128" t="s">
        <v>26</v>
      </c>
      <c r="E21" s="129" t="s">
        <v>21</v>
      </c>
      <c r="F21" s="130">
        <v>26.56</v>
      </c>
      <c r="G21" s="122">
        <v>24.04</v>
      </c>
      <c r="H21" s="124">
        <f t="shared" si="0"/>
        <v>24.04</v>
      </c>
      <c r="I21" s="125" t="e">
        <f t="shared" si="1"/>
        <v>#VALUE!</v>
      </c>
      <c r="J21" s="126"/>
      <c r="K21" s="118">
        <f t="shared" si="2"/>
      </c>
      <c r="L21" s="127">
        <f t="shared" si="3"/>
      </c>
      <c r="M21" s="118">
        <f t="shared" si="4"/>
      </c>
      <c r="N21" s="127">
        <f t="shared" si="5"/>
      </c>
    </row>
    <row r="22" spans="1:14" ht="15">
      <c r="A22" s="131"/>
      <c r="B22" s="120">
        <v>14</v>
      </c>
      <c r="C22" s="128" t="s">
        <v>60</v>
      </c>
      <c r="D22" s="128" t="s">
        <v>27</v>
      </c>
      <c r="E22" s="129" t="s">
        <v>21</v>
      </c>
      <c r="F22" s="123">
        <v>49.26</v>
      </c>
      <c r="G22" s="122">
        <v>41</v>
      </c>
      <c r="H22" s="124">
        <f t="shared" si="0"/>
        <v>41</v>
      </c>
      <c r="I22" s="125" t="e">
        <f t="shared" si="1"/>
        <v>#VALUE!</v>
      </c>
      <c r="J22" s="126"/>
      <c r="K22" s="118">
        <f t="shared" si="2"/>
      </c>
      <c r="L22" s="127">
        <f t="shared" si="3"/>
      </c>
      <c r="M22" s="118">
        <f t="shared" si="4"/>
      </c>
      <c r="N22" s="127">
        <f t="shared" si="5"/>
      </c>
    </row>
    <row r="23" spans="1:14" ht="15">
      <c r="A23" s="131"/>
      <c r="B23" s="120">
        <v>15</v>
      </c>
      <c r="C23" s="128" t="s">
        <v>61</v>
      </c>
      <c r="D23" s="128" t="s">
        <v>50</v>
      </c>
      <c r="E23" s="129" t="s">
        <v>24</v>
      </c>
      <c r="F23" s="123">
        <v>29.04</v>
      </c>
      <c r="G23" s="122">
        <v>36.01</v>
      </c>
      <c r="H23" s="124">
        <f t="shared" si="0"/>
        <v>29.04</v>
      </c>
      <c r="I23" s="125" t="e">
        <f t="shared" si="1"/>
        <v>#VALUE!</v>
      </c>
      <c r="J23" s="126" t="s">
        <v>45</v>
      </c>
      <c r="K23" s="118">
        <f t="shared" si="2"/>
        <v>29.04</v>
      </c>
      <c r="L23" s="127">
        <f t="shared" si="3"/>
        <v>2</v>
      </c>
      <c r="M23" s="118">
        <f t="shared" si="4"/>
      </c>
      <c r="N23" s="127">
        <f t="shared" si="5"/>
      </c>
    </row>
    <row r="24" spans="1:14" ht="15">
      <c r="A24" s="131"/>
      <c r="B24" s="120">
        <v>16</v>
      </c>
      <c r="C24" s="128" t="s">
        <v>62</v>
      </c>
      <c r="D24" s="128" t="s">
        <v>20</v>
      </c>
      <c r="E24" s="129" t="s">
        <v>21</v>
      </c>
      <c r="F24" s="123">
        <v>24.87</v>
      </c>
      <c r="G24" s="122">
        <v>21.17</v>
      </c>
      <c r="H24" s="124">
        <f t="shared" si="0"/>
        <v>21.17</v>
      </c>
      <c r="I24" s="125" t="e">
        <f t="shared" si="1"/>
        <v>#VALUE!</v>
      </c>
      <c r="J24" s="126"/>
      <c r="K24" s="118">
        <f t="shared" si="2"/>
      </c>
      <c r="L24" s="127">
        <f t="shared" si="3"/>
      </c>
      <c r="M24" s="118">
        <f t="shared" si="4"/>
      </c>
      <c r="N24" s="127">
        <f t="shared" si="5"/>
      </c>
    </row>
    <row r="25" spans="1:14" ht="15">
      <c r="A25" s="131"/>
      <c r="B25" s="120">
        <v>17</v>
      </c>
      <c r="C25" s="128" t="s">
        <v>63</v>
      </c>
      <c r="D25" s="128" t="s">
        <v>23</v>
      </c>
      <c r="E25" s="129" t="s">
        <v>24</v>
      </c>
      <c r="F25" s="123">
        <v>25.06</v>
      </c>
      <c r="G25" s="122">
        <v>23.51</v>
      </c>
      <c r="H25" s="124">
        <f t="shared" si="0"/>
        <v>23.51</v>
      </c>
      <c r="I25" s="125" t="e">
        <f t="shared" si="1"/>
        <v>#VALUE!</v>
      </c>
      <c r="J25" s="126"/>
      <c r="K25" s="118">
        <f t="shared" si="2"/>
      </c>
      <c r="L25" s="127">
        <f t="shared" si="3"/>
      </c>
      <c r="M25" s="118">
        <f t="shared" si="4"/>
      </c>
      <c r="N25" s="127">
        <f t="shared" si="5"/>
      </c>
    </row>
    <row r="26" spans="1:14" ht="15">
      <c r="A26" s="131"/>
      <c r="B26" s="120">
        <v>18</v>
      </c>
      <c r="C26" s="128" t="s">
        <v>64</v>
      </c>
      <c r="D26" s="128" t="s">
        <v>26</v>
      </c>
      <c r="E26" s="129" t="s">
        <v>21</v>
      </c>
      <c r="F26" s="130">
        <v>23.54</v>
      </c>
      <c r="G26" s="122">
        <v>21.81</v>
      </c>
      <c r="H26" s="124">
        <f t="shared" si="0"/>
        <v>21.81</v>
      </c>
      <c r="I26" s="125" t="e">
        <f t="shared" si="1"/>
        <v>#VALUE!</v>
      </c>
      <c r="J26" s="126" t="s">
        <v>45</v>
      </c>
      <c r="K26" s="118">
        <f t="shared" si="2"/>
      </c>
      <c r="L26" s="127">
        <f t="shared" si="3"/>
      </c>
      <c r="M26" s="118">
        <f t="shared" si="4"/>
        <v>21.81</v>
      </c>
      <c r="N26" s="127" t="e">
        <f t="shared" si="5"/>
        <v>#VALUE!</v>
      </c>
    </row>
    <row r="27" spans="1:14" ht="15">
      <c r="A27" s="131"/>
      <c r="B27" s="120">
        <v>19</v>
      </c>
      <c r="C27" s="128" t="s">
        <v>65</v>
      </c>
      <c r="D27" s="128" t="s">
        <v>27</v>
      </c>
      <c r="E27" s="129" t="s">
        <v>21</v>
      </c>
      <c r="F27" s="130" t="s">
        <v>25</v>
      </c>
      <c r="G27" s="122">
        <v>34.33</v>
      </c>
      <c r="H27" s="124" t="e">
        <f t="shared" si="0"/>
        <v>#VALUE!</v>
      </c>
      <c r="I27" s="125">
        <f t="shared" si="1"/>
        <v>28</v>
      </c>
      <c r="J27" s="126" t="s">
        <v>45</v>
      </c>
      <c r="K27" s="118">
        <f t="shared" si="2"/>
      </c>
      <c r="L27" s="127">
        <f t="shared" si="3"/>
      </c>
      <c r="M27" s="118" t="e">
        <f t="shared" si="4"/>
        <v>#VALUE!</v>
      </c>
      <c r="N27" s="127">
        <f t="shared" si="5"/>
      </c>
    </row>
    <row r="28" spans="1:14" ht="15">
      <c r="A28" s="131"/>
      <c r="B28" s="120"/>
      <c r="C28" s="128"/>
      <c r="D28" s="128"/>
      <c r="E28" s="129"/>
      <c r="F28" s="123"/>
      <c r="G28" s="122"/>
      <c r="H28" s="124" t="str">
        <f t="shared" si="0"/>
        <v>NP</v>
      </c>
      <c r="I28" s="125">
        <f t="shared" si="1"/>
        <v>28</v>
      </c>
      <c r="J28" s="126"/>
      <c r="K28" s="118">
        <f t="shared" si="2"/>
      </c>
      <c r="L28" s="127">
        <f t="shared" si="3"/>
      </c>
      <c r="M28" s="118">
        <f t="shared" si="4"/>
      </c>
      <c r="N28" s="127">
        <f t="shared" si="5"/>
      </c>
    </row>
    <row r="29" spans="1:14" ht="15">
      <c r="A29" s="131"/>
      <c r="B29" s="120">
        <v>21</v>
      </c>
      <c r="C29" s="128" t="s">
        <v>66</v>
      </c>
      <c r="D29" s="128" t="s">
        <v>20</v>
      </c>
      <c r="E29" s="129" t="s">
        <v>21</v>
      </c>
      <c r="F29" s="123">
        <v>24.64</v>
      </c>
      <c r="G29" s="122">
        <v>22.56</v>
      </c>
      <c r="H29" s="124">
        <f t="shared" si="0"/>
        <v>22.56</v>
      </c>
      <c r="I29" s="125" t="e">
        <f t="shared" si="1"/>
        <v>#VALUE!</v>
      </c>
      <c r="J29" s="126"/>
      <c r="K29" s="118">
        <f t="shared" si="2"/>
      </c>
      <c r="L29" s="127">
        <f t="shared" si="3"/>
      </c>
      <c r="M29" s="118">
        <f t="shared" si="4"/>
      </c>
      <c r="N29" s="127">
        <f t="shared" si="5"/>
      </c>
    </row>
    <row r="30" spans="1:14" ht="15">
      <c r="A30" s="131"/>
      <c r="B30" s="120">
        <v>22</v>
      </c>
      <c r="C30" s="128" t="s">
        <v>67</v>
      </c>
      <c r="D30" s="128" t="s">
        <v>23</v>
      </c>
      <c r="E30" s="129" t="s">
        <v>24</v>
      </c>
      <c r="F30" s="123">
        <v>21.22</v>
      </c>
      <c r="G30" s="122" t="s">
        <v>25</v>
      </c>
      <c r="H30" s="124" t="e">
        <f t="shared" si="0"/>
        <v>#VALUE!</v>
      </c>
      <c r="I30" s="125">
        <f t="shared" si="1"/>
        <v>28</v>
      </c>
      <c r="J30" s="126"/>
      <c r="K30" s="118">
        <f t="shared" si="2"/>
      </c>
      <c r="L30" s="127">
        <f t="shared" si="3"/>
      </c>
      <c r="M30" s="118">
        <f t="shared" si="4"/>
      </c>
      <c r="N30" s="127">
        <f t="shared" si="5"/>
      </c>
    </row>
    <row r="31" spans="1:14" ht="15">
      <c r="A31" s="131"/>
      <c r="B31" s="120">
        <v>23</v>
      </c>
      <c r="C31" s="128" t="s">
        <v>68</v>
      </c>
      <c r="D31" s="128" t="s">
        <v>26</v>
      </c>
      <c r="E31" s="129" t="s">
        <v>21</v>
      </c>
      <c r="F31" s="123">
        <v>32.1</v>
      </c>
      <c r="G31" s="122">
        <v>36.75</v>
      </c>
      <c r="H31" s="124">
        <f t="shared" si="0"/>
        <v>32.1</v>
      </c>
      <c r="I31" s="125" t="e">
        <f t="shared" si="1"/>
        <v>#VALUE!</v>
      </c>
      <c r="J31" s="126"/>
      <c r="K31" s="118">
        <f t="shared" si="2"/>
      </c>
      <c r="L31" s="127">
        <f t="shared" si="3"/>
      </c>
      <c r="M31" s="118">
        <f t="shared" si="4"/>
      </c>
      <c r="N31" s="127">
        <f t="shared" si="5"/>
      </c>
    </row>
    <row r="32" spans="1:14" ht="15">
      <c r="A32" s="131"/>
      <c r="B32" s="120">
        <v>24</v>
      </c>
      <c r="C32" s="128" t="s">
        <v>69</v>
      </c>
      <c r="D32" s="128" t="s">
        <v>27</v>
      </c>
      <c r="E32" s="129" t="s">
        <v>21</v>
      </c>
      <c r="F32" s="123">
        <v>35.74</v>
      </c>
      <c r="G32" s="122">
        <v>25.06</v>
      </c>
      <c r="H32" s="124">
        <f t="shared" si="0"/>
        <v>25.06</v>
      </c>
      <c r="I32" s="125" t="e">
        <f t="shared" si="1"/>
        <v>#VALUE!</v>
      </c>
      <c r="J32" s="126" t="s">
        <v>45</v>
      </c>
      <c r="K32" s="118">
        <f t="shared" si="2"/>
      </c>
      <c r="L32" s="127">
        <f t="shared" si="3"/>
      </c>
      <c r="M32" s="118">
        <f t="shared" si="4"/>
        <v>25.06</v>
      </c>
      <c r="N32" s="127" t="e">
        <f t="shared" si="5"/>
        <v>#VALUE!</v>
      </c>
    </row>
    <row r="33" spans="1:14" ht="15">
      <c r="A33" s="131"/>
      <c r="B33" s="120">
        <v>25</v>
      </c>
      <c r="C33" s="128" t="s">
        <v>70</v>
      </c>
      <c r="D33" s="128" t="s">
        <v>50</v>
      </c>
      <c r="E33" s="129" t="s">
        <v>24</v>
      </c>
      <c r="F33" s="123">
        <v>34.64</v>
      </c>
      <c r="G33" s="122">
        <v>36.94</v>
      </c>
      <c r="H33" s="124">
        <f t="shared" si="0"/>
        <v>34.64</v>
      </c>
      <c r="I33" s="125" t="e">
        <f t="shared" si="1"/>
        <v>#VALUE!</v>
      </c>
      <c r="J33" s="126" t="s">
        <v>45</v>
      </c>
      <c r="K33" s="118">
        <f t="shared" si="2"/>
        <v>34.64</v>
      </c>
      <c r="L33" s="127">
        <f t="shared" si="3"/>
        <v>4</v>
      </c>
      <c r="M33" s="118">
        <f t="shared" si="4"/>
      </c>
      <c r="N33" s="127">
        <f t="shared" si="5"/>
      </c>
    </row>
    <row r="34" spans="1:14" ht="15">
      <c r="A34" s="131"/>
      <c r="B34" s="120">
        <v>26</v>
      </c>
      <c r="C34" s="128" t="s">
        <v>71</v>
      </c>
      <c r="D34" s="128" t="s">
        <v>20</v>
      </c>
      <c r="E34" s="129" t="s">
        <v>21</v>
      </c>
      <c r="F34" s="123">
        <v>21.82</v>
      </c>
      <c r="G34" s="122">
        <v>20.99</v>
      </c>
      <c r="H34" s="124">
        <f t="shared" si="0"/>
        <v>20.99</v>
      </c>
      <c r="I34" s="125" t="e">
        <f t="shared" si="1"/>
        <v>#VALUE!</v>
      </c>
      <c r="J34" s="126" t="s">
        <v>45</v>
      </c>
      <c r="K34" s="118">
        <f t="shared" si="2"/>
      </c>
      <c r="L34" s="127">
        <f t="shared" si="3"/>
      </c>
      <c r="M34" s="118">
        <f t="shared" si="4"/>
        <v>20.99</v>
      </c>
      <c r="N34" s="127" t="e">
        <f t="shared" si="5"/>
        <v>#VALUE!</v>
      </c>
    </row>
    <row r="35" spans="1:14" ht="15">
      <c r="A35" s="131"/>
      <c r="B35" s="120">
        <v>27</v>
      </c>
      <c r="C35" s="128" t="s">
        <v>72</v>
      </c>
      <c r="D35" s="128" t="s">
        <v>23</v>
      </c>
      <c r="E35" s="129" t="s">
        <v>24</v>
      </c>
      <c r="F35" s="123">
        <v>23.31</v>
      </c>
      <c r="G35" s="122">
        <v>32.05</v>
      </c>
      <c r="H35" s="124">
        <f t="shared" si="0"/>
        <v>23.31</v>
      </c>
      <c r="I35" s="125" t="e">
        <f t="shared" si="1"/>
        <v>#VALUE!</v>
      </c>
      <c r="J35" s="126"/>
      <c r="K35" s="118">
        <f t="shared" si="2"/>
      </c>
      <c r="L35" s="127">
        <f t="shared" si="3"/>
      </c>
      <c r="M35" s="118">
        <f t="shared" si="4"/>
      </c>
      <c r="N35" s="127">
        <f t="shared" si="5"/>
      </c>
    </row>
    <row r="36" spans="1:14" ht="15">
      <c r="A36" s="131"/>
      <c r="B36" s="120">
        <v>28</v>
      </c>
      <c r="C36" s="128" t="s">
        <v>73</v>
      </c>
      <c r="D36" s="128" t="s">
        <v>26</v>
      </c>
      <c r="E36" s="129" t="s">
        <v>21</v>
      </c>
      <c r="F36" s="123">
        <v>30.54</v>
      </c>
      <c r="G36" s="122">
        <v>29.61</v>
      </c>
      <c r="H36" s="124">
        <f t="shared" si="0"/>
        <v>29.61</v>
      </c>
      <c r="I36" s="125" t="e">
        <f t="shared" si="1"/>
        <v>#VALUE!</v>
      </c>
      <c r="J36" s="126"/>
      <c r="K36" s="118">
        <f t="shared" si="2"/>
      </c>
      <c r="L36" s="127">
        <f t="shared" si="3"/>
      </c>
      <c r="M36" s="118">
        <f t="shared" si="4"/>
      </c>
      <c r="N36" s="127">
        <f t="shared" si="5"/>
      </c>
    </row>
    <row r="37" spans="1:14" ht="15">
      <c r="A37" s="131"/>
      <c r="B37" s="120">
        <v>29</v>
      </c>
      <c r="C37" s="128" t="s">
        <v>74</v>
      </c>
      <c r="D37" s="128" t="s">
        <v>27</v>
      </c>
      <c r="E37" s="129" t="s">
        <v>21</v>
      </c>
      <c r="F37" s="123">
        <v>32.17</v>
      </c>
      <c r="G37" s="122">
        <v>46.5</v>
      </c>
      <c r="H37" s="124">
        <f t="shared" si="0"/>
        <v>32.17</v>
      </c>
      <c r="I37" s="125" t="e">
        <f t="shared" si="1"/>
        <v>#VALUE!</v>
      </c>
      <c r="J37" s="126"/>
      <c r="K37" s="118">
        <f t="shared" si="2"/>
      </c>
      <c r="L37" s="127">
        <f t="shared" si="3"/>
      </c>
      <c r="M37" s="118">
        <f t="shared" si="4"/>
      </c>
      <c r="N37" s="127">
        <f t="shared" si="5"/>
      </c>
    </row>
    <row r="38" spans="1:14" ht="15">
      <c r="A38" s="131"/>
      <c r="B38" s="120">
        <v>30</v>
      </c>
      <c r="C38" s="128" t="s">
        <v>75</v>
      </c>
      <c r="D38" s="128" t="s">
        <v>50</v>
      </c>
      <c r="E38" s="129" t="s">
        <v>24</v>
      </c>
      <c r="F38" s="123">
        <v>50.43</v>
      </c>
      <c r="G38" s="122">
        <v>31.83</v>
      </c>
      <c r="H38" s="124">
        <f t="shared" si="0"/>
        <v>31.83</v>
      </c>
      <c r="I38" s="125" t="e">
        <f t="shared" si="1"/>
        <v>#VALUE!</v>
      </c>
      <c r="J38" s="126" t="s">
        <v>45</v>
      </c>
      <c r="K38" s="118">
        <f t="shared" si="2"/>
        <v>31.83</v>
      </c>
      <c r="L38" s="127">
        <f t="shared" si="3"/>
        <v>3</v>
      </c>
      <c r="M38" s="118">
        <f t="shared" si="4"/>
      </c>
      <c r="N38" s="127">
        <f t="shared" si="5"/>
      </c>
    </row>
    <row r="39" spans="1:14" ht="15">
      <c r="A39" s="131"/>
      <c r="B39" s="120">
        <v>31</v>
      </c>
      <c r="C39" s="128" t="s">
        <v>76</v>
      </c>
      <c r="D39" s="128" t="s">
        <v>20</v>
      </c>
      <c r="E39" s="129" t="s">
        <v>21</v>
      </c>
      <c r="F39" s="123">
        <v>20.67</v>
      </c>
      <c r="G39" s="122" t="s">
        <v>25</v>
      </c>
      <c r="H39" s="124" t="e">
        <f t="shared" si="0"/>
        <v>#VALUE!</v>
      </c>
      <c r="I39" s="125">
        <f t="shared" si="1"/>
        <v>28</v>
      </c>
      <c r="J39" s="126" t="s">
        <v>45</v>
      </c>
      <c r="K39" s="118">
        <f t="shared" si="2"/>
      </c>
      <c r="L39" s="127">
        <f t="shared" si="3"/>
      </c>
      <c r="M39" s="118" t="e">
        <f t="shared" si="4"/>
        <v>#VALUE!</v>
      </c>
      <c r="N39" s="127">
        <f t="shared" si="5"/>
      </c>
    </row>
    <row r="40" spans="1:14" ht="15">
      <c r="A40" s="131"/>
      <c r="B40" s="120">
        <v>32</v>
      </c>
      <c r="C40" s="128" t="s">
        <v>77</v>
      </c>
      <c r="D40" s="128" t="s">
        <v>23</v>
      </c>
      <c r="E40" s="129" t="s">
        <v>24</v>
      </c>
      <c r="F40" s="123">
        <v>21.58</v>
      </c>
      <c r="G40" s="122">
        <v>21.21</v>
      </c>
      <c r="H40" s="124">
        <f t="shared" si="0"/>
        <v>21.21</v>
      </c>
      <c r="I40" s="125" t="e">
        <f t="shared" si="1"/>
        <v>#VALUE!</v>
      </c>
      <c r="J40" s="126"/>
      <c r="K40" s="118">
        <f t="shared" si="2"/>
      </c>
      <c r="L40" s="127">
        <f t="shared" si="3"/>
      </c>
      <c r="M40" s="118">
        <f t="shared" si="4"/>
      </c>
      <c r="N40" s="127">
        <f t="shared" si="5"/>
      </c>
    </row>
    <row r="41" spans="1:14" ht="15">
      <c r="A41" s="131"/>
      <c r="B41" s="120">
        <v>33</v>
      </c>
      <c r="C41" s="128" t="s">
        <v>78</v>
      </c>
      <c r="D41" s="128" t="s">
        <v>20</v>
      </c>
      <c r="E41" s="129" t="s">
        <v>21</v>
      </c>
      <c r="F41" s="130">
        <v>21.65</v>
      </c>
      <c r="G41" s="122">
        <v>23.42</v>
      </c>
      <c r="H41" s="124">
        <f t="shared" si="0"/>
        <v>21.65</v>
      </c>
      <c r="I41" s="125" t="e">
        <f t="shared" si="1"/>
        <v>#VALUE!</v>
      </c>
      <c r="J41" s="126" t="s">
        <v>45</v>
      </c>
      <c r="K41" s="118">
        <f t="shared" si="2"/>
      </c>
      <c r="L41" s="127">
        <f t="shared" si="3"/>
      </c>
      <c r="M41" s="118">
        <f t="shared" si="4"/>
        <v>21.65</v>
      </c>
      <c r="N41" s="127" t="e">
        <f t="shared" si="5"/>
        <v>#VALUE!</v>
      </c>
    </row>
    <row r="42" spans="1:14" ht="15">
      <c r="A42" s="131"/>
      <c r="B42" s="132">
        <v>34</v>
      </c>
      <c r="C42" s="133" t="s">
        <v>79</v>
      </c>
      <c r="D42" s="133" t="s">
        <v>27</v>
      </c>
      <c r="E42" s="134" t="s">
        <v>21</v>
      </c>
      <c r="F42" s="135">
        <v>31.65</v>
      </c>
      <c r="G42" s="136" t="s">
        <v>25</v>
      </c>
      <c r="H42" s="137" t="e">
        <f t="shared" si="0"/>
        <v>#VALUE!</v>
      </c>
      <c r="I42" s="138">
        <f t="shared" si="1"/>
        <v>28</v>
      </c>
      <c r="J42" s="139"/>
      <c r="K42" s="140">
        <f t="shared" si="2"/>
      </c>
      <c r="L42" s="141">
        <f t="shared" si="3"/>
      </c>
      <c r="M42" s="140">
        <f t="shared" si="4"/>
      </c>
      <c r="N42" s="141">
        <f t="shared" si="5"/>
      </c>
    </row>
    <row r="43" spans="1:14" ht="15">
      <c r="A43" s="131"/>
      <c r="B43" s="142">
        <v>35</v>
      </c>
      <c r="C43" s="143" t="s">
        <v>80</v>
      </c>
      <c r="D43" s="143" t="s">
        <v>26</v>
      </c>
      <c r="E43" s="144" t="s">
        <v>21</v>
      </c>
      <c r="F43" s="145">
        <v>27.74</v>
      </c>
      <c r="G43" s="146">
        <v>26.9</v>
      </c>
      <c r="H43" s="147">
        <f t="shared" si="0"/>
        <v>26.9</v>
      </c>
      <c r="I43" s="148" t="e">
        <f t="shared" si="1"/>
        <v>#VALUE!</v>
      </c>
      <c r="J43" s="149"/>
      <c r="K43" s="150">
        <f t="shared" si="2"/>
      </c>
      <c r="L43" s="151">
        <f t="shared" si="3"/>
      </c>
      <c r="M43" s="150">
        <f t="shared" si="4"/>
      </c>
      <c r="N43" s="151">
        <f t="shared" si="5"/>
      </c>
    </row>
    <row r="44" spans="1:14" ht="15">
      <c r="A44" s="131"/>
      <c r="B44" s="152"/>
      <c r="C44" s="153"/>
      <c r="D44" s="153"/>
      <c r="E44" s="153"/>
      <c r="F44" s="154"/>
      <c r="G44" s="155"/>
      <c r="H44" s="154"/>
      <c r="I44" s="156"/>
      <c r="J44" s="156"/>
      <c r="K44" s="156"/>
      <c r="L44" s="156"/>
      <c r="M44" s="156"/>
      <c r="N44" s="156"/>
    </row>
    <row r="45" spans="7:14" ht="15">
      <c r="G45" s="155"/>
      <c r="H45" s="154"/>
      <c r="I45" s="156"/>
      <c r="J45" s="156"/>
      <c r="K45" s="156"/>
      <c r="L45" s="156"/>
      <c r="M45" s="156"/>
      <c r="N45" s="156"/>
    </row>
    <row r="46" spans="7:14" ht="15">
      <c r="G46" s="155"/>
      <c r="H46" s="154"/>
      <c r="I46" s="156"/>
      <c r="J46" s="156"/>
      <c r="K46" s="156"/>
      <c r="L46" s="156"/>
      <c r="M46" s="156"/>
      <c r="N46" s="156"/>
    </row>
    <row r="47" spans="7:14" ht="15">
      <c r="G47" s="155"/>
      <c r="H47" s="154"/>
      <c r="I47" s="156"/>
      <c r="J47" s="156"/>
      <c r="K47" s="156"/>
      <c r="L47" s="156"/>
      <c r="M47" s="156"/>
      <c r="N47" s="156"/>
    </row>
    <row r="48" spans="7:14" ht="15">
      <c r="G48" s="155"/>
      <c r="H48" s="154"/>
      <c r="I48" s="156"/>
      <c r="J48" s="156"/>
      <c r="K48" s="156"/>
      <c r="L48" s="156"/>
      <c r="M48" s="156"/>
      <c r="N48" s="156"/>
    </row>
    <row r="49" spans="7:14" ht="15">
      <c r="G49" s="155"/>
      <c r="H49" s="154"/>
      <c r="I49" s="156"/>
      <c r="J49" s="156"/>
      <c r="K49" s="156"/>
      <c r="L49" s="156"/>
      <c r="M49" s="156"/>
      <c r="N49" s="156"/>
    </row>
    <row r="50" spans="7:14" ht="15">
      <c r="G50" s="155"/>
      <c r="H50" s="154"/>
      <c r="I50" s="156"/>
      <c r="J50" s="156"/>
      <c r="K50" s="156"/>
      <c r="L50" s="156"/>
      <c r="M50" s="156"/>
      <c r="N50" s="156"/>
    </row>
    <row r="51" spans="1:14" ht="15">
      <c r="A51" s="131"/>
      <c r="B51" s="152"/>
      <c r="C51" s="153"/>
      <c r="D51" s="153"/>
      <c r="E51" s="153"/>
      <c r="F51" s="154"/>
      <c r="G51" s="155"/>
      <c r="H51" s="154"/>
      <c r="I51" s="156"/>
      <c r="J51" s="156"/>
      <c r="K51" s="156"/>
      <c r="L51" s="156"/>
      <c r="M51" s="156"/>
      <c r="N51" s="156"/>
    </row>
    <row r="52" spans="1:14" ht="15">
      <c r="A52" s="131"/>
      <c r="B52" s="152"/>
      <c r="C52" s="153"/>
      <c r="D52" s="153"/>
      <c r="E52" s="153"/>
      <c r="F52" s="154"/>
      <c r="G52" s="155"/>
      <c r="H52" s="154"/>
      <c r="I52" s="156"/>
      <c r="J52" s="156"/>
      <c r="K52" s="156"/>
      <c r="L52" s="156"/>
      <c r="M52" s="156"/>
      <c r="N52" s="156"/>
    </row>
    <row r="53" spans="1:14" ht="15">
      <c r="A53" s="131"/>
      <c r="B53" s="152"/>
      <c r="C53" s="153"/>
      <c r="D53" s="153"/>
      <c r="E53" s="153"/>
      <c r="F53" s="154"/>
      <c r="G53" s="155"/>
      <c r="H53" s="154"/>
      <c r="I53" s="156"/>
      <c r="J53" s="156"/>
      <c r="K53" s="156"/>
      <c r="L53" s="156"/>
      <c r="M53" s="156"/>
      <c r="N53" s="156"/>
    </row>
    <row r="54" spans="1:14" ht="15">
      <c r="A54" s="131"/>
      <c r="B54" s="152"/>
      <c r="C54" s="153"/>
      <c r="D54" s="153"/>
      <c r="E54" s="153"/>
      <c r="F54" s="154"/>
      <c r="G54" s="155"/>
      <c r="H54" s="154"/>
      <c r="I54" s="156"/>
      <c r="J54" s="156"/>
      <c r="K54" s="156"/>
      <c r="L54" s="156"/>
      <c r="M54" s="156"/>
      <c r="N54" s="156"/>
    </row>
  </sheetData>
  <sheetProtection selectLockedCells="1" selectUnlockedCells="1"/>
  <mergeCells count="2">
    <mergeCell ref="B2:I2"/>
    <mergeCell ref="C4:D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workbookViewId="0" topLeftCell="A1">
      <selection activeCell="H35" sqref="H35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24.28125" style="0" customWidth="1"/>
    <col min="4" max="4" width="20.00390625" style="0" customWidth="1"/>
    <col min="5" max="5" width="5.7109375" style="0" customWidth="1"/>
    <col min="6" max="7" width="8.00390625" style="0" customWidth="1"/>
    <col min="8" max="8" width="9.28125" style="0" customWidth="1"/>
    <col min="9" max="9" width="7.57421875" style="0" customWidth="1"/>
    <col min="10" max="10" width="4.8515625" style="0" customWidth="1"/>
    <col min="11" max="11" width="0" style="0" hidden="1" customWidth="1"/>
    <col min="12" max="12" width="7.57421875" style="0" customWidth="1"/>
    <col min="13" max="13" width="0" style="0" hidden="1" customWidth="1"/>
    <col min="14" max="14" width="7.57421875" style="0" customWidth="1"/>
    <col min="16" max="18" width="0" style="0" hidden="1" customWidth="1"/>
  </cols>
  <sheetData>
    <row r="2" spans="2:14" ht="24.75">
      <c r="B2" s="98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3:5" ht="19.5">
      <c r="C4" s="99" t="s">
        <v>32</v>
      </c>
      <c r="D4" s="99"/>
      <c r="E4" s="99"/>
    </row>
    <row r="6" ht="17.25">
      <c r="C6" s="100" t="s">
        <v>82</v>
      </c>
    </row>
    <row r="8" spans="2:18" ht="30" customHeight="1">
      <c r="B8" s="101" t="s">
        <v>34</v>
      </c>
      <c r="C8" s="102" t="s">
        <v>35</v>
      </c>
      <c r="D8" s="102" t="s">
        <v>36</v>
      </c>
      <c r="E8" s="103" t="s">
        <v>6</v>
      </c>
      <c r="F8" s="104" t="s">
        <v>37</v>
      </c>
      <c r="G8" s="104" t="s">
        <v>38</v>
      </c>
      <c r="H8" s="105" t="s">
        <v>39</v>
      </c>
      <c r="I8" s="106" t="s">
        <v>40</v>
      </c>
      <c r="J8" s="107" t="s">
        <v>41</v>
      </c>
      <c r="K8" s="108"/>
      <c r="L8" s="109" t="s">
        <v>42</v>
      </c>
      <c r="M8" s="108"/>
      <c r="N8" s="110" t="s">
        <v>43</v>
      </c>
      <c r="P8" s="157" t="s">
        <v>83</v>
      </c>
      <c r="Q8" s="158" t="s">
        <v>29</v>
      </c>
      <c r="R8" s="159" t="s">
        <v>23</v>
      </c>
    </row>
    <row r="9" spans="2:18" ht="15">
      <c r="B9" s="111">
        <v>51</v>
      </c>
      <c r="C9" s="112" t="s">
        <v>84</v>
      </c>
      <c r="D9" s="112" t="s">
        <v>23</v>
      </c>
      <c r="E9" s="113" t="s">
        <v>24</v>
      </c>
      <c r="F9" s="114">
        <v>22.31</v>
      </c>
      <c r="G9" s="114">
        <v>25.24</v>
      </c>
      <c r="H9" s="160">
        <f aca="true" t="shared" si="0" ref="H9:H19">IF(OR(N(F9),N(G9)),MIN(F9,G9),"NP")</f>
        <v>22.31</v>
      </c>
      <c r="I9" s="116" t="e">
        <f aca="true" t="shared" si="1" ref="I9:I19">IF(N(H9),RANK(H9,H$9:H$27,1),COUNT(H$9:H$27)+1)</f>
        <v>#VALUE!</v>
      </c>
      <c r="J9" s="117"/>
      <c r="K9" s="118">
        <f aca="true" t="shared" si="2" ref="K9:K27">IF(AND(E9="KO",J9="J"),H9,"")</f>
      </c>
      <c r="L9" s="119">
        <f aca="true" t="shared" si="3" ref="L9:L27">IF(K9&lt;&gt;"",IF(N(K9),RANK(K9,K$9:K$27,1),COUNT(K$9:K$27)+1),"")</f>
      </c>
      <c r="M9" s="118">
        <f aca="true" t="shared" si="4" ref="M9:M27">IF(AND(E9="KH",J9="J"),H9,"")</f>
      </c>
      <c r="N9" s="119">
        <f aca="true" t="shared" si="5" ref="N9:N27">IF(M9&lt;&gt;"",IF(N(M9),RANK(M9,M$9:M$27,1),COUNT(M$9:M$27)+1),"")</f>
      </c>
      <c r="P9" s="161">
        <f>VLOOKUP(51,$B$9:$I$27,7)</f>
        <v>22.31</v>
      </c>
      <c r="Q9" s="162" t="e">
        <f>VLOOKUP(52,$B$9:$I$27,7)</f>
        <v>#VALUE!</v>
      </c>
      <c r="R9" s="163" t="e">
        <f>VLOOKUP(53,$B$9:$I$27,7)</f>
        <v>#VALUE!</v>
      </c>
    </row>
    <row r="10" spans="2:18" ht="15">
      <c r="B10" s="120">
        <v>52</v>
      </c>
      <c r="C10" s="121" t="s">
        <v>85</v>
      </c>
      <c r="D10" s="121" t="s">
        <v>29</v>
      </c>
      <c r="E10" s="122" t="s">
        <v>21</v>
      </c>
      <c r="F10" s="123">
        <v>24</v>
      </c>
      <c r="G10" s="122" t="s">
        <v>25</v>
      </c>
      <c r="H10" s="164" t="e">
        <f t="shared" si="0"/>
        <v>#VALUE!</v>
      </c>
      <c r="I10" s="125">
        <f t="shared" si="1"/>
        <v>16</v>
      </c>
      <c r="J10" s="126"/>
      <c r="K10" s="118">
        <f t="shared" si="2"/>
      </c>
      <c r="L10" s="127">
        <f t="shared" si="3"/>
      </c>
      <c r="M10" s="118">
        <f t="shared" si="4"/>
      </c>
      <c r="N10" s="127">
        <f t="shared" si="5"/>
      </c>
      <c r="P10" s="165">
        <f>VLOOKUP(55,$B$9:$I$27,7)</f>
        <v>26.83</v>
      </c>
      <c r="Q10" s="122">
        <f>VLOOKUP(56,$B$9:$I$27,7)</f>
        <v>26.92</v>
      </c>
      <c r="R10" s="166">
        <f>VLOOKUP(57,$B$9:$I$27,7)</f>
        <v>22.96</v>
      </c>
    </row>
    <row r="11" spans="2:18" ht="15">
      <c r="B11" s="120">
        <v>53</v>
      </c>
      <c r="C11" s="121" t="s">
        <v>86</v>
      </c>
      <c r="D11" s="121" t="s">
        <v>87</v>
      </c>
      <c r="E11" s="122" t="s">
        <v>24</v>
      </c>
      <c r="F11" s="130" t="s">
        <v>25</v>
      </c>
      <c r="G11" s="122" t="s">
        <v>25</v>
      </c>
      <c r="H11" s="164" t="e">
        <f t="shared" si="0"/>
        <v>#VALUE!</v>
      </c>
      <c r="I11" s="125">
        <f t="shared" si="1"/>
        <v>16</v>
      </c>
      <c r="J11" s="126" t="s">
        <v>45</v>
      </c>
      <c r="K11" s="118" t="e">
        <f t="shared" si="2"/>
        <v>#VALUE!</v>
      </c>
      <c r="L11" s="127">
        <f t="shared" si="3"/>
      </c>
      <c r="M11" s="118">
        <f t="shared" si="4"/>
      </c>
      <c r="N11" s="127">
        <f t="shared" si="5"/>
      </c>
      <c r="P11" s="165">
        <f>VLOOKUP(59,$B$9:$I$27,7)</f>
        <v>20.23</v>
      </c>
      <c r="Q11" s="122">
        <f>VLOOKUP(60,$B$9:$I$27,7)</f>
        <v>24.43</v>
      </c>
      <c r="R11" s="166" t="e">
        <f>VLOOKUP(61,$B$9:$I$27,7)</f>
        <v>#VALUE!</v>
      </c>
    </row>
    <row r="12" spans="2:18" ht="15">
      <c r="B12" s="120">
        <v>54</v>
      </c>
      <c r="C12" s="121" t="s">
        <v>88</v>
      </c>
      <c r="D12" s="121" t="s">
        <v>23</v>
      </c>
      <c r="E12" s="122" t="s">
        <v>24</v>
      </c>
      <c r="F12" s="130">
        <v>25.49</v>
      </c>
      <c r="G12" s="122">
        <v>24.72</v>
      </c>
      <c r="H12" s="164">
        <f t="shared" si="0"/>
        <v>24.72</v>
      </c>
      <c r="I12" s="125" t="e">
        <f t="shared" si="1"/>
        <v>#VALUE!</v>
      </c>
      <c r="J12" s="126"/>
      <c r="K12" s="118">
        <f t="shared" si="2"/>
      </c>
      <c r="L12" s="127">
        <f t="shared" si="3"/>
      </c>
      <c r="M12" s="118">
        <f t="shared" si="4"/>
      </c>
      <c r="N12" s="127">
        <f t="shared" si="5"/>
      </c>
      <c r="P12" s="165">
        <f>VLOOKUP(63,$B$9:$I$27,7)</f>
        <v>27.77</v>
      </c>
      <c r="Q12" s="122">
        <f>VLOOKUP(64,$B$9:$I$27,7)</f>
        <v>29.61</v>
      </c>
      <c r="R12" s="166">
        <f>VLOOKUP(65,$B$9:$I$27,7)</f>
        <v>26.1</v>
      </c>
    </row>
    <row r="13" spans="2:18" ht="15">
      <c r="B13" s="120">
        <v>55</v>
      </c>
      <c r="C13" s="121" t="s">
        <v>89</v>
      </c>
      <c r="D13" s="121" t="s">
        <v>29</v>
      </c>
      <c r="E13" s="122" t="s">
        <v>21</v>
      </c>
      <c r="F13" s="123">
        <v>26.83</v>
      </c>
      <c r="G13" s="122">
        <v>27.05</v>
      </c>
      <c r="H13" s="164">
        <f t="shared" si="0"/>
        <v>26.83</v>
      </c>
      <c r="I13" s="125" t="e">
        <f t="shared" si="1"/>
        <v>#VALUE!</v>
      </c>
      <c r="J13" s="126"/>
      <c r="K13" s="118">
        <f t="shared" si="2"/>
      </c>
      <c r="L13" s="127">
        <f t="shared" si="3"/>
      </c>
      <c r="M13" s="118">
        <f t="shared" si="4"/>
      </c>
      <c r="N13" s="127">
        <f t="shared" si="5"/>
      </c>
      <c r="P13" s="165">
        <f>VLOOKUP(67,$B$9:$I$27,7)</f>
        <v>28.3</v>
      </c>
      <c r="Q13" s="122">
        <f>VLOOKUP(68,$B$9:$I$27,7)</f>
        <v>24.09</v>
      </c>
      <c r="R13" s="166">
        <f>VLOOKUP(69,$B$9:$I$27,7)</f>
        <v>23.84</v>
      </c>
    </row>
    <row r="14" spans="2:18" ht="15">
      <c r="B14" s="120">
        <v>56</v>
      </c>
      <c r="C14" s="121" t="s">
        <v>90</v>
      </c>
      <c r="D14" s="121" t="s">
        <v>87</v>
      </c>
      <c r="E14" s="122" t="s">
        <v>24</v>
      </c>
      <c r="F14" s="130">
        <v>27.97</v>
      </c>
      <c r="G14" s="123">
        <v>26.92</v>
      </c>
      <c r="H14" s="164">
        <f t="shared" si="0"/>
        <v>26.92</v>
      </c>
      <c r="I14" s="125" t="e">
        <f t="shared" si="1"/>
        <v>#VALUE!</v>
      </c>
      <c r="J14" s="126" t="s">
        <v>45</v>
      </c>
      <c r="K14" s="118">
        <f t="shared" si="2"/>
        <v>26.92</v>
      </c>
      <c r="L14" s="127" t="e">
        <f t="shared" si="3"/>
        <v>#VALUE!</v>
      </c>
      <c r="M14" s="118">
        <f t="shared" si="4"/>
      </c>
      <c r="N14" s="127">
        <f t="shared" si="5"/>
      </c>
      <c r="P14" s="165">
        <f>VLOOKUP(71,$B$9:$I$27,7)</f>
        <v>23.84</v>
      </c>
      <c r="Q14" s="122">
        <f>VLOOKUP(72,$B$9:$I$27,7)</f>
        <v>23.84</v>
      </c>
      <c r="R14" s="166">
        <f>VLOOKUP(73,$B$9:$I$27,7)</f>
        <v>23.84</v>
      </c>
    </row>
    <row r="15" spans="2:18" ht="15">
      <c r="B15" s="120">
        <v>57</v>
      </c>
      <c r="C15" s="121" t="s">
        <v>91</v>
      </c>
      <c r="D15" s="121" t="s">
        <v>23</v>
      </c>
      <c r="E15" s="122" t="s">
        <v>24</v>
      </c>
      <c r="F15" s="123">
        <v>23.61</v>
      </c>
      <c r="G15" s="123">
        <v>22.96</v>
      </c>
      <c r="H15" s="164">
        <f t="shared" si="0"/>
        <v>22.96</v>
      </c>
      <c r="I15" s="125" t="e">
        <f t="shared" si="1"/>
        <v>#VALUE!</v>
      </c>
      <c r="J15" s="126"/>
      <c r="K15" s="118">
        <f t="shared" si="2"/>
      </c>
      <c r="L15" s="127">
        <f t="shared" si="3"/>
      </c>
      <c r="M15" s="118">
        <f t="shared" si="4"/>
      </c>
      <c r="N15" s="127">
        <f t="shared" si="5"/>
      </c>
      <c r="P15" s="167">
        <f>VLOOKUP(75,$B$9:$I$27,7)</f>
        <v>23.84</v>
      </c>
      <c r="Q15" s="168">
        <f>VLOOKUP(76,$B$9:$I$27,7)</f>
        <v>23.84</v>
      </c>
      <c r="R15" s="169">
        <f>VLOOKUP(77,$B$9:$I$27,7)</f>
        <v>23.84</v>
      </c>
    </row>
    <row r="16" spans="2:18" ht="15">
      <c r="B16" s="120">
        <v>58</v>
      </c>
      <c r="C16" s="121" t="s">
        <v>92</v>
      </c>
      <c r="D16" s="121" t="s">
        <v>29</v>
      </c>
      <c r="E16" s="122" t="s">
        <v>21</v>
      </c>
      <c r="F16" s="130">
        <v>30.26</v>
      </c>
      <c r="G16" s="123">
        <v>29.61</v>
      </c>
      <c r="H16" s="164">
        <f t="shared" si="0"/>
        <v>29.61</v>
      </c>
      <c r="I16" s="125" t="e">
        <f t="shared" si="1"/>
        <v>#VALUE!</v>
      </c>
      <c r="J16" s="126"/>
      <c r="K16" s="118">
        <f t="shared" si="2"/>
      </c>
      <c r="L16" s="127">
        <f t="shared" si="3"/>
      </c>
      <c r="M16" s="118">
        <f t="shared" si="4"/>
      </c>
      <c r="N16" s="127">
        <f t="shared" si="5"/>
      </c>
      <c r="P16" s="170"/>
      <c r="Q16" s="170"/>
      <c r="R16" s="170"/>
    </row>
    <row r="17" spans="2:14" ht="15">
      <c r="B17" s="120">
        <v>59</v>
      </c>
      <c r="C17" s="121" t="s">
        <v>93</v>
      </c>
      <c r="D17" s="121" t="s">
        <v>20</v>
      </c>
      <c r="E17" s="122" t="s">
        <v>21</v>
      </c>
      <c r="F17" s="123">
        <v>20.51</v>
      </c>
      <c r="G17" s="123">
        <v>20.23</v>
      </c>
      <c r="H17" s="164">
        <f t="shared" si="0"/>
        <v>20.23</v>
      </c>
      <c r="I17" s="125" t="e">
        <f t="shared" si="1"/>
        <v>#VALUE!</v>
      </c>
      <c r="J17" s="126" t="s">
        <v>45</v>
      </c>
      <c r="K17" s="118">
        <f t="shared" si="2"/>
      </c>
      <c r="L17" s="127">
        <f t="shared" si="3"/>
      </c>
      <c r="M17" s="118">
        <f t="shared" si="4"/>
        <v>20.23</v>
      </c>
      <c r="N17" s="127" t="e">
        <f t="shared" si="5"/>
        <v>#VALUE!</v>
      </c>
    </row>
    <row r="18" spans="2:14" ht="15">
      <c r="B18" s="120">
        <v>60</v>
      </c>
      <c r="C18" s="121" t="s">
        <v>94</v>
      </c>
      <c r="D18" s="121" t="s">
        <v>23</v>
      </c>
      <c r="E18" s="122" t="s">
        <v>24</v>
      </c>
      <c r="F18" s="130">
        <v>24.43</v>
      </c>
      <c r="G18" s="122">
        <v>29.85</v>
      </c>
      <c r="H18" s="164">
        <f t="shared" si="0"/>
        <v>24.43</v>
      </c>
      <c r="I18" s="125" t="e">
        <f t="shared" si="1"/>
        <v>#VALUE!</v>
      </c>
      <c r="J18" s="126"/>
      <c r="K18" s="118">
        <f t="shared" si="2"/>
      </c>
      <c r="L18" s="127">
        <f t="shared" si="3"/>
      </c>
      <c r="M18" s="118">
        <f t="shared" si="4"/>
      </c>
      <c r="N18" s="127">
        <f t="shared" si="5"/>
      </c>
    </row>
    <row r="19" spans="2:14" ht="15">
      <c r="B19" s="120">
        <v>61</v>
      </c>
      <c r="C19" s="121" t="s">
        <v>95</v>
      </c>
      <c r="D19" s="121" t="s">
        <v>29</v>
      </c>
      <c r="E19" s="122" t="s">
        <v>21</v>
      </c>
      <c r="F19" s="130" t="s">
        <v>96</v>
      </c>
      <c r="G19" s="122">
        <v>25.62</v>
      </c>
      <c r="H19" s="164" t="e">
        <f t="shared" si="0"/>
        <v>#VALUE!</v>
      </c>
      <c r="I19" s="125">
        <f t="shared" si="1"/>
        <v>16</v>
      </c>
      <c r="J19" s="126" t="s">
        <v>45</v>
      </c>
      <c r="K19" s="118">
        <f t="shared" si="2"/>
      </c>
      <c r="L19" s="127">
        <f t="shared" si="3"/>
      </c>
      <c r="M19" s="118" t="e">
        <f t="shared" si="4"/>
        <v>#VALUE!</v>
      </c>
      <c r="N19" s="127">
        <f t="shared" si="5"/>
      </c>
    </row>
    <row r="20" spans="2:14" ht="15">
      <c r="B20" s="120">
        <v>62</v>
      </c>
      <c r="C20" s="121"/>
      <c r="D20" s="121"/>
      <c r="E20" s="122" t="s">
        <v>21</v>
      </c>
      <c r="F20" s="130"/>
      <c r="G20" s="123"/>
      <c r="H20" s="164" t="s">
        <v>97</v>
      </c>
      <c r="I20" s="125">
        <v>19</v>
      </c>
      <c r="J20" s="126"/>
      <c r="K20" s="118">
        <f t="shared" si="2"/>
      </c>
      <c r="L20" s="127">
        <f t="shared" si="3"/>
      </c>
      <c r="M20" s="118">
        <f t="shared" si="4"/>
      </c>
      <c r="N20" s="127">
        <f t="shared" si="5"/>
      </c>
    </row>
    <row r="21" spans="2:14" ht="15">
      <c r="B21" s="120">
        <v>63</v>
      </c>
      <c r="C21" s="121" t="s">
        <v>98</v>
      </c>
      <c r="D21" s="121" t="s">
        <v>23</v>
      </c>
      <c r="E21" s="122" t="s">
        <v>24</v>
      </c>
      <c r="F21" s="123">
        <v>27.77</v>
      </c>
      <c r="G21" s="122">
        <v>29.39</v>
      </c>
      <c r="H21" s="164">
        <f aca="true" t="shared" si="6" ref="H21:H27">IF(OR(N(F21),N(G21)),MIN(F21,G21),"NP")</f>
        <v>27.77</v>
      </c>
      <c r="I21" s="125" t="e">
        <f>IF(N(H21),RANK(H21,H$9:H$27,1),COUNT(H$9:H$27)+1)</f>
        <v>#VALUE!</v>
      </c>
      <c r="J21" s="126"/>
      <c r="K21" s="118">
        <f t="shared" si="2"/>
      </c>
      <c r="L21" s="127">
        <f t="shared" si="3"/>
      </c>
      <c r="M21" s="118">
        <f t="shared" si="4"/>
      </c>
      <c r="N21" s="127">
        <f t="shared" si="5"/>
      </c>
    </row>
    <row r="22" spans="2:14" ht="15">
      <c r="B22" s="120">
        <v>64</v>
      </c>
      <c r="C22" s="121" t="s">
        <v>99</v>
      </c>
      <c r="D22" s="121" t="s">
        <v>29</v>
      </c>
      <c r="E22" s="122" t="s">
        <v>21</v>
      </c>
      <c r="F22" s="123">
        <v>39.03</v>
      </c>
      <c r="G22" s="122">
        <v>29.61</v>
      </c>
      <c r="H22" s="164">
        <f t="shared" si="6"/>
        <v>29.61</v>
      </c>
      <c r="I22" s="125">
        <v>17</v>
      </c>
      <c r="J22" s="126"/>
      <c r="K22" s="118">
        <f t="shared" si="2"/>
      </c>
      <c r="L22" s="127">
        <f t="shared" si="3"/>
      </c>
      <c r="M22" s="118">
        <f t="shared" si="4"/>
      </c>
      <c r="N22" s="127">
        <f t="shared" si="5"/>
      </c>
    </row>
    <row r="23" spans="2:14" ht="15">
      <c r="B23" s="120">
        <v>65</v>
      </c>
      <c r="C23" s="121" t="s">
        <v>100</v>
      </c>
      <c r="D23" s="121" t="s">
        <v>20</v>
      </c>
      <c r="E23" s="122" t="s">
        <v>21</v>
      </c>
      <c r="F23" s="130">
        <v>27.19</v>
      </c>
      <c r="G23" s="122">
        <v>26.1</v>
      </c>
      <c r="H23" s="164">
        <f t="shared" si="6"/>
        <v>26.1</v>
      </c>
      <c r="I23" s="125" t="e">
        <f>IF(N(H23),RANK(H23,H$9:H$27,1),COUNT(H$9:H$27)+1)</f>
        <v>#VALUE!</v>
      </c>
      <c r="J23" s="126" t="s">
        <v>45</v>
      </c>
      <c r="K23" s="118">
        <f t="shared" si="2"/>
      </c>
      <c r="L23" s="127">
        <f t="shared" si="3"/>
      </c>
      <c r="M23" s="118">
        <f t="shared" si="4"/>
        <v>26.1</v>
      </c>
      <c r="N23" s="127" t="e">
        <f t="shared" si="5"/>
        <v>#VALUE!</v>
      </c>
    </row>
    <row r="24" spans="2:14" ht="15">
      <c r="B24" s="120">
        <v>66</v>
      </c>
      <c r="C24" s="121" t="s">
        <v>101</v>
      </c>
      <c r="D24" s="121" t="s">
        <v>23</v>
      </c>
      <c r="E24" s="122" t="s">
        <v>24</v>
      </c>
      <c r="F24" s="130">
        <v>29.82</v>
      </c>
      <c r="G24" s="122">
        <v>26.54</v>
      </c>
      <c r="H24" s="124">
        <f t="shared" si="6"/>
        <v>26.54</v>
      </c>
      <c r="I24" s="125" t="e">
        <f>IF(N(H24),RANK(H24,H$9:H$27,1),COUNT(H$9:H$27)+1)</f>
        <v>#VALUE!</v>
      </c>
      <c r="J24" s="126"/>
      <c r="K24" s="118">
        <f t="shared" si="2"/>
      </c>
      <c r="L24" s="127">
        <f t="shared" si="3"/>
      </c>
      <c r="M24" s="118">
        <f t="shared" si="4"/>
      </c>
      <c r="N24" s="127">
        <f t="shared" si="5"/>
      </c>
    </row>
    <row r="25" spans="2:14" ht="15">
      <c r="B25" s="120">
        <v>67</v>
      </c>
      <c r="C25" s="121" t="s">
        <v>102</v>
      </c>
      <c r="D25" s="121" t="s">
        <v>29</v>
      </c>
      <c r="E25" s="122" t="s">
        <v>21</v>
      </c>
      <c r="F25" s="130">
        <v>28.3</v>
      </c>
      <c r="G25" s="122">
        <v>33.57</v>
      </c>
      <c r="H25" s="124">
        <f t="shared" si="6"/>
        <v>28.3</v>
      </c>
      <c r="I25" s="125" t="e">
        <f>IF(N(H25),RANK(H25,H$9:H$27,1),COUNT(H$9:H$27)+1)</f>
        <v>#VALUE!</v>
      </c>
      <c r="J25" s="126"/>
      <c r="K25" s="118">
        <f t="shared" si="2"/>
      </c>
      <c r="L25" s="127">
        <f t="shared" si="3"/>
      </c>
      <c r="M25" s="118">
        <f t="shared" si="4"/>
      </c>
      <c r="N25" s="127">
        <f t="shared" si="5"/>
      </c>
    </row>
    <row r="26" spans="2:14" ht="15">
      <c r="B26" s="120">
        <v>68</v>
      </c>
      <c r="C26" s="121" t="s">
        <v>103</v>
      </c>
      <c r="D26" s="121" t="s">
        <v>27</v>
      </c>
      <c r="E26" s="122" t="s">
        <v>21</v>
      </c>
      <c r="F26" s="130">
        <v>25.17</v>
      </c>
      <c r="G26" s="122">
        <v>24.09</v>
      </c>
      <c r="H26" s="124">
        <f t="shared" si="6"/>
        <v>24.09</v>
      </c>
      <c r="I26" s="125" t="e">
        <f>IF(N(H26),RANK(H26,H$9:H$27,1),COUNT(H$9:H$27)+1)</f>
        <v>#VALUE!</v>
      </c>
      <c r="J26" s="126" t="s">
        <v>45</v>
      </c>
      <c r="K26" s="118">
        <f t="shared" si="2"/>
      </c>
      <c r="L26" s="127">
        <f t="shared" si="3"/>
      </c>
      <c r="M26" s="118">
        <f t="shared" si="4"/>
        <v>24.09</v>
      </c>
      <c r="N26" s="127" t="e">
        <f t="shared" si="5"/>
        <v>#VALUE!</v>
      </c>
    </row>
    <row r="27" spans="2:14" ht="15">
      <c r="B27" s="142">
        <v>69</v>
      </c>
      <c r="C27" s="171" t="s">
        <v>104</v>
      </c>
      <c r="D27" s="171" t="s">
        <v>29</v>
      </c>
      <c r="E27" s="168" t="s">
        <v>21</v>
      </c>
      <c r="F27" s="145">
        <v>32.9</v>
      </c>
      <c r="G27" s="146">
        <v>23.84</v>
      </c>
      <c r="H27" s="147">
        <f t="shared" si="6"/>
        <v>23.84</v>
      </c>
      <c r="I27" s="148" t="e">
        <f>IF(N(H27),RANK(H27,H$9:H$27,1),COUNT(H$9:H$27)+1)</f>
        <v>#VALUE!</v>
      </c>
      <c r="J27" s="149"/>
      <c r="K27" s="150">
        <f t="shared" si="2"/>
      </c>
      <c r="L27" s="151">
        <f t="shared" si="3"/>
      </c>
      <c r="M27" s="150">
        <f t="shared" si="4"/>
      </c>
      <c r="N27" s="151">
        <f t="shared" si="5"/>
      </c>
    </row>
    <row r="28" spans="2:14" ht="15">
      <c r="B28" s="152"/>
      <c r="C28" s="172"/>
      <c r="F28" s="154"/>
      <c r="G28" s="155"/>
      <c r="H28" s="154"/>
      <c r="I28" s="156"/>
      <c r="J28" s="156"/>
      <c r="K28" s="156"/>
      <c r="L28" s="156"/>
      <c r="M28" s="156"/>
      <c r="N28" s="156"/>
    </row>
    <row r="29" spans="1:8" ht="15">
      <c r="A29" s="155"/>
      <c r="B29" s="154"/>
      <c r="C29" s="156"/>
      <c r="D29" s="156"/>
      <c r="E29" s="156"/>
      <c r="F29" s="156"/>
      <c r="G29" s="156"/>
      <c r="H29" s="156"/>
    </row>
    <row r="30" spans="1:8" ht="15">
      <c r="A30" s="155"/>
      <c r="B30" s="154"/>
      <c r="C30" s="156"/>
      <c r="D30" s="156"/>
      <c r="E30" s="156"/>
      <c r="F30" s="156"/>
      <c r="G30" s="156"/>
      <c r="H30" s="156"/>
    </row>
    <row r="31" spans="1:8" ht="15">
      <c r="A31" s="155"/>
      <c r="B31" s="154"/>
      <c r="C31" s="156"/>
      <c r="D31" s="156"/>
      <c r="E31" s="156"/>
      <c r="F31" s="156"/>
      <c r="G31" s="156"/>
      <c r="H31" s="156"/>
    </row>
    <row r="32" spans="1:8" ht="15" customHeight="1">
      <c r="A32" s="155"/>
      <c r="B32" s="154"/>
      <c r="C32" s="156"/>
      <c r="D32" s="156"/>
      <c r="E32" s="156"/>
      <c r="F32" s="156"/>
      <c r="G32" s="156"/>
      <c r="H32" s="156"/>
    </row>
    <row r="33" ht="15" customHeight="1"/>
  </sheetData>
  <sheetProtection selectLockedCells="1" selectUnlockedCells="1"/>
  <mergeCells count="2">
    <mergeCell ref="B2:I2"/>
    <mergeCell ref="C4:D4"/>
  </mergeCells>
  <printOptions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5"/>
  <sheetViews>
    <sheetView workbookViewId="0" topLeftCell="A4">
      <selection activeCell="M7" sqref="M7"/>
    </sheetView>
  </sheetViews>
  <sheetFormatPr defaultColWidth="9.140625" defaultRowHeight="12.75"/>
  <cols>
    <col min="1" max="1" width="2.28125" style="0" customWidth="1"/>
    <col min="3" max="3" width="18.140625" style="0" customWidth="1"/>
    <col min="4" max="10" width="6.7109375" style="0" customWidth="1"/>
    <col min="12" max="12" width="10.28125" style="0" customWidth="1"/>
  </cols>
  <sheetData>
    <row r="2" spans="2:14" ht="24.75">
      <c r="B2" s="98" t="s">
        <v>31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3:13" ht="19.5">
      <c r="C4" s="99" t="s">
        <v>32</v>
      </c>
      <c r="D4" s="99"/>
      <c r="E4" s="99"/>
      <c r="F4" s="99"/>
      <c r="G4" s="99"/>
      <c r="H4" s="99"/>
      <c r="I4" s="99"/>
      <c r="J4" s="99"/>
      <c r="K4" s="99"/>
      <c r="L4" s="99"/>
      <c r="M4" s="99"/>
    </row>
    <row r="6" spans="2:13" ht="15.75" customHeight="1">
      <c r="B6" s="170" t="s">
        <v>3</v>
      </c>
      <c r="D6" s="170" t="s">
        <v>105</v>
      </c>
      <c r="E6" s="170" t="s">
        <v>106</v>
      </c>
      <c r="F6" s="170" t="s">
        <v>107</v>
      </c>
      <c r="G6" s="170" t="s">
        <v>108</v>
      </c>
      <c r="H6" s="170" t="s">
        <v>109</v>
      </c>
      <c r="I6" s="170" t="s">
        <v>110</v>
      </c>
      <c r="J6" s="170" t="s">
        <v>111</v>
      </c>
      <c r="K6" s="170" t="s">
        <v>112</v>
      </c>
      <c r="L6" s="170" t="s">
        <v>113</v>
      </c>
      <c r="M6" s="170" t="s">
        <v>40</v>
      </c>
    </row>
    <row r="7" spans="2:13" ht="15.75" customHeight="1">
      <c r="B7" s="170">
        <v>1</v>
      </c>
      <c r="C7" t="s">
        <v>20</v>
      </c>
      <c r="D7" s="173" t="e">
        <f>VLOOKUP(1,'100ci'!$B$9:'100ci'!$I$43,7)</f>
        <v>#VALUE!</v>
      </c>
      <c r="E7" s="173">
        <f>VLOOKUP(6,'100ci'!$B$9:'100ci'!$I$43,7)</f>
        <v>20.15</v>
      </c>
      <c r="F7" s="173">
        <f>VLOOKUP(11,'100ci'!$B$9:'100ci'!$I$43,7)</f>
        <v>19.13</v>
      </c>
      <c r="G7" s="173">
        <f>VLOOKUP(16,'100ci'!$B$9:'100ci'!$I$43,7)</f>
        <v>21.17</v>
      </c>
      <c r="H7" s="173">
        <f>VLOOKUP(21,'100ci'!$B$9:'100ci'!$I$43,7)</f>
        <v>22.56</v>
      </c>
      <c r="I7" s="173">
        <f>VLOOKUP(26,'100ci'!$B$9:'100ci'!$I$43,7)</f>
        <v>20.99</v>
      </c>
      <c r="J7" s="173" t="e">
        <f>VLOOKUP(31,'100ci'!$B$9:'100ci'!$I$43,7)</f>
        <v>#VALUE!</v>
      </c>
      <c r="K7" s="170">
        <f>COUNT(D7:J7)</f>
        <v>5</v>
      </c>
      <c r="L7" s="173" t="e">
        <f>IF(K7&lt;5,"NP",IF(K7=5,SUM(D7:J7),IF(K7=6,SUM(D7:J7)-LARGE(D7:J7,1),SUM(D7:J7)-LARGE(D7:J7,1)-LARGE(D7:J7,2))))</f>
        <v>#VALUE!</v>
      </c>
      <c r="M7" s="174">
        <f>IF(N(L7),RANK(L7,L$7:L$10,1),COUNT(L$7:L$10)+1)</f>
        <v>1</v>
      </c>
    </row>
    <row r="8" spans="2:13" ht="15.75" customHeight="1">
      <c r="B8" s="170">
        <v>2</v>
      </c>
      <c r="C8" t="s">
        <v>23</v>
      </c>
      <c r="D8" s="173">
        <f>VLOOKUP(2,'100ci'!$B$9:'100ci'!$I$43,7)</f>
        <v>24.67</v>
      </c>
      <c r="E8" s="173">
        <f>VLOOKUP(7,'100ci'!$B$9:'100ci'!$I$43,7)</f>
        <v>18.84</v>
      </c>
      <c r="F8" s="173">
        <f>VLOOKUP(12,'100ci'!$B$9:'100ci'!$I$43,7)</f>
        <v>20.19</v>
      </c>
      <c r="G8" s="173">
        <f>VLOOKUP(17,'100ci'!$B$9:'100ci'!$I$43,7)</f>
        <v>23.51</v>
      </c>
      <c r="H8" s="173" t="e">
        <f>VLOOKUP(22,'100ci'!$B$9:'100ci'!$I$43,7)</f>
        <v>#VALUE!</v>
      </c>
      <c r="I8" s="173">
        <f>VLOOKUP(27,'100ci'!$B$9:'100ci'!$I$43,7)</f>
        <v>23.31</v>
      </c>
      <c r="J8" s="173">
        <f>VLOOKUP(32,'100ci'!$B$9:'100ci'!$I$43,7)</f>
        <v>21.21</v>
      </c>
      <c r="K8" s="170">
        <f>COUNT(D8:J8)</f>
        <v>6</v>
      </c>
      <c r="L8" s="173" t="e">
        <f>IF(K8&lt;5,"NP",IF(K8=5,SUM(D8:J8),IF(K8=6,SUM(D8:J8)-LARGE(D8:J8,1),SUM(D8:J8)-LARGE(D8:J8,1)-LARGE(D8:J8,2))))</f>
        <v>#VALUE!</v>
      </c>
      <c r="M8" s="174">
        <f>IF(N(L8),RANK(L8,L$7:L$10,1),COUNT(L$7:L$10)+1)</f>
        <v>1</v>
      </c>
    </row>
    <row r="9" spans="2:13" ht="15.75" customHeight="1">
      <c r="B9" s="170">
        <v>3</v>
      </c>
      <c r="C9" t="s">
        <v>26</v>
      </c>
      <c r="D9" s="173">
        <f>VLOOKUP(3,'100ci'!$B$9:'100ci'!$I$43,7)</f>
        <v>28.66</v>
      </c>
      <c r="E9" s="173" t="e">
        <f>VLOOKUP(8,'100ci'!$B$9:'100ci'!$I$43,7)</f>
        <v>#VALUE!</v>
      </c>
      <c r="F9" s="173">
        <f>VLOOKUP(13,'100ci'!$B$9:'100ci'!$I$43,7)</f>
        <v>24.04</v>
      </c>
      <c r="G9" s="173">
        <f>VLOOKUP(18,'100ci'!$B$9:'100ci'!$I$43,7)</f>
        <v>21.81</v>
      </c>
      <c r="H9" s="173">
        <f>VLOOKUP(23,'100ci'!$B$9:'100ci'!$I$43,7)</f>
        <v>32.1</v>
      </c>
      <c r="I9" s="173">
        <f>VLOOKUP(28,'100ci'!$B$9:'100ci'!$I$43,7)</f>
        <v>29.61</v>
      </c>
      <c r="J9" s="173">
        <f>VLOOKUP(35,'100ci'!$B$9:'100ci'!$I$43,7)</f>
        <v>26.9</v>
      </c>
      <c r="K9" s="170">
        <f>COUNT(D9:J9)</f>
        <v>6</v>
      </c>
      <c r="L9" s="173" t="e">
        <f>IF(K9&lt;5,"NP",IF(K9=5,SUM(D9:J9),IF(K9=6,SUM(D9:J9)-LARGE(D9:J9,1),SUM(D9:J9)-LARGE(D9:J9,1)-LARGE(D9:J9,2))))</f>
        <v>#VALUE!</v>
      </c>
      <c r="M9" s="174">
        <f>IF(N(L9),RANK(L9,L$7:L$10,1),COUNT(L$7:L$10)+1)</f>
        <v>1</v>
      </c>
    </row>
    <row r="10" spans="2:13" ht="15.75" customHeight="1">
      <c r="B10" s="170">
        <v>4</v>
      </c>
      <c r="C10" t="s">
        <v>27</v>
      </c>
      <c r="D10" s="173">
        <f>VLOOKUP(4,'100ci'!$B$9:'100ci'!$I$43,7)</f>
        <v>28.06</v>
      </c>
      <c r="E10" s="173" t="e">
        <f>VLOOKUP(9,'100ci'!$B$9:'100ci'!$I$43,7)</f>
        <v>#VALUE!</v>
      </c>
      <c r="F10" s="173">
        <f>VLOOKUP(14,'100ci'!$B$9:'100ci'!$I$43,7)</f>
        <v>41</v>
      </c>
      <c r="G10" s="173" t="e">
        <f>VLOOKUP(19,'100ci'!$B$9:'100ci'!$I$43,7)</f>
        <v>#VALUE!</v>
      </c>
      <c r="H10" s="173">
        <f>VLOOKUP(24,'100ci'!$B$9:'100ci'!$I$43,7)</f>
        <v>25.06</v>
      </c>
      <c r="I10" s="173">
        <f>VLOOKUP(29,'100ci'!$B$9:'100ci'!$I$43,7)</f>
        <v>32.17</v>
      </c>
      <c r="J10" s="173" t="e">
        <f>VLOOKUP(34,'100ci'!$B$9:'100ci'!$I$43,7)</f>
        <v>#VALUE!</v>
      </c>
      <c r="K10" s="170">
        <f>COUNT(D10:J10)</f>
        <v>4</v>
      </c>
      <c r="L10" s="173" t="str">
        <f>IF(K10&lt;5,"NP",IF(K10=5,SUM(D10:J10),IF(K10=6,SUM(D10:J10)-LARGE(D10:J10,1),SUM(D10:J10)-LARGE(D10:J10,1)-LARGE(D10:J10,2))))</f>
        <v>NP</v>
      </c>
      <c r="M10" s="174">
        <f>IF(N(L10),RANK(L10,L$7:L$10,1),COUNT(L$7:L$10)+1)</f>
        <v>1</v>
      </c>
    </row>
    <row r="11" spans="2:10" ht="15.75" customHeight="1">
      <c r="B11" s="170"/>
      <c r="D11" s="170"/>
      <c r="E11" s="170"/>
      <c r="F11" s="170"/>
      <c r="G11" s="170"/>
      <c r="H11" s="170"/>
      <c r="I11" s="170"/>
      <c r="J11" s="170"/>
    </row>
    <row r="12" spans="2:10" ht="15.75" customHeight="1">
      <c r="B12" s="170" t="s">
        <v>28</v>
      </c>
      <c r="D12" s="170"/>
      <c r="E12" s="170"/>
      <c r="F12" s="170"/>
      <c r="G12" s="170"/>
      <c r="H12" s="170"/>
      <c r="I12" s="170"/>
      <c r="J12" s="170"/>
    </row>
    <row r="13" spans="2:13" ht="15.75" customHeight="1">
      <c r="B13" s="170">
        <v>1</v>
      </c>
      <c r="C13" t="s">
        <v>23</v>
      </c>
      <c r="D13" s="173">
        <f>VLOOKUP(51,'100ky'!$B$9:'100ky'!$I$27,7)</f>
        <v>22.31</v>
      </c>
      <c r="E13" s="173">
        <f>VLOOKUP(54,'100ky'!$B$9:'100ky'!$I$27,7)</f>
        <v>24.72</v>
      </c>
      <c r="F13" s="173">
        <f>VLOOKUP(57,'100ky'!$B$9:'100ky'!$I$27,7)</f>
        <v>22.96</v>
      </c>
      <c r="G13" s="173">
        <f>VLOOKUP(60,'100ky'!$B$9:'100ky'!$I$27,7)</f>
        <v>24.43</v>
      </c>
      <c r="H13" s="173">
        <f>VLOOKUP(63,'100ky'!$B$9:'100ky'!$I$27,7)</f>
        <v>27.77</v>
      </c>
      <c r="I13" s="173">
        <f>VLOOKUP(66,'100ky'!$B$9:'100ky'!$I$27,7)</f>
        <v>26.54</v>
      </c>
      <c r="J13" s="173"/>
      <c r="K13" s="170">
        <f>COUNT(D13:J13)</f>
        <v>6</v>
      </c>
      <c r="L13" s="173">
        <f>IF(K13&lt;5,"NP",IF(K13=5,SUM(D13:J13),IF(K13=6,SUM(D13:J13)-LARGE(D13:J13,1),SUM(D13:J13)-LARGE(D13:J13,1)-LARGE(D13:J13,2))))</f>
        <v>120.96</v>
      </c>
      <c r="M13" s="174" t="e">
        <f>IF(N(L13),RANK(L13,L$13:L$15,1),COUNT(L$13:L$15)+1)</f>
        <v>#VALUE!</v>
      </c>
    </row>
    <row r="14" spans="2:13" ht="15.75" customHeight="1">
      <c r="B14" s="170">
        <v>2</v>
      </c>
      <c r="C14" t="s">
        <v>29</v>
      </c>
      <c r="D14" s="173" t="e">
        <f>VLOOKUP(52,'100ky'!$B$9:'100ky'!$I$27,7)</f>
        <v>#VALUE!</v>
      </c>
      <c r="E14" s="173">
        <f>VLOOKUP(55,'100ky'!$B$9:'100ky'!$I$27,7)</f>
        <v>26.83</v>
      </c>
      <c r="F14" s="173">
        <f>VLOOKUP(58,'100ky'!$B$9:'100ky'!$I$27,7)</f>
        <v>29.61</v>
      </c>
      <c r="G14" s="173" t="e">
        <f>VLOOKUP(61,'100ky'!$B$9:'100ky'!$I$27,7)</f>
        <v>#VALUE!</v>
      </c>
      <c r="H14" s="173">
        <f>VLOOKUP(64,'100ky'!$B$9:'100ky'!$I$27,7)</f>
        <v>29.61</v>
      </c>
      <c r="I14" s="173">
        <f>VLOOKUP(67,'100ky'!$B$9:'100ky'!$I$27,7)</f>
        <v>28.3</v>
      </c>
      <c r="J14" s="173">
        <f>VLOOKUP(69,'100ky'!$B$9:'100ky'!$I$27,7)</f>
        <v>23.84</v>
      </c>
      <c r="K14" s="170">
        <f>COUNT(D14:J14)</f>
        <v>5</v>
      </c>
      <c r="L14" s="173" t="e">
        <f>IF(K14&lt;5,"NP",IF(K14=5,SUM(D14:J14),IF(K14=6,SUM(D14:J14)-LARGE(D14:J14,1),SUM(D14:J14)-LARGE(D14:J14,1)-LARGE(D14:J14,2))))</f>
        <v>#VALUE!</v>
      </c>
      <c r="M14" s="174">
        <f>IF(N(L14),RANK(L14,L$13:L$15,1),COUNT(L$13:L$15)+1)</f>
        <v>2</v>
      </c>
    </row>
    <row r="15" spans="2:13" ht="15.75" customHeight="1">
      <c r="B15" s="170">
        <v>3</v>
      </c>
      <c r="C15" t="s">
        <v>50</v>
      </c>
      <c r="D15" s="173" t="e">
        <f>VLOOKUP(53,'100ky'!$B$9:'100ky'!$I$27,7)</f>
        <v>#VALUE!</v>
      </c>
      <c r="E15" s="173">
        <f>VLOOKUP(56,'100ky'!$B$9:'100ky'!$I$27,7)</f>
        <v>26.92</v>
      </c>
      <c r="F15" s="173">
        <f>VLOOKUP(5,'100ci'!$B$9:'100ci'!$I$43,7)</f>
        <v>26.76</v>
      </c>
      <c r="G15" s="173">
        <f>VLOOKUP(15,'100ci'!$B$9:'100ci'!$I$43,7)</f>
        <v>29.04</v>
      </c>
      <c r="H15" s="173">
        <f>VLOOKUP(25,'100ci'!$B$9:'100ci'!$I$43,7)</f>
        <v>34.64</v>
      </c>
      <c r="I15" s="173">
        <f>VLOOKUP(30,'100ci'!$B$9:'100ci'!$I$43,7)</f>
        <v>31.83</v>
      </c>
      <c r="J15" s="173"/>
      <c r="K15" s="170">
        <f>COUNT(D15:J15)</f>
        <v>5</v>
      </c>
      <c r="L15" s="173" t="e">
        <f>IF(K15&lt;5,"NP",IF(K15=5,SUM(D15:J15),IF(K15=6,SUM(D15:J15)-LARGE(D15:J15,1),SUM(D15:J15)-LARGE(D15:J15,1)-LARGE(D15:J15,2))))</f>
        <v>#VALUE!</v>
      </c>
      <c r="M15" s="174">
        <f>IF(N(L15),RANK(L15,L$13:L$15,1),COUNT(L$13:L$15)+1)</f>
        <v>2</v>
      </c>
    </row>
    <row r="16" ht="15.75" customHeight="1"/>
  </sheetData>
  <sheetProtection selectLockedCells="1" selectUnlockedCells="1"/>
  <mergeCells count="2">
    <mergeCell ref="B2:I2"/>
    <mergeCell ref="C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4"/>
  <sheetViews>
    <sheetView workbookViewId="0" topLeftCell="B1">
      <selection activeCell="H9" sqref="H9"/>
    </sheetView>
  </sheetViews>
  <sheetFormatPr defaultColWidth="12.57421875" defaultRowHeight="12.75"/>
  <cols>
    <col min="1" max="1" width="2.140625" style="0" customWidth="1"/>
    <col min="2" max="2" width="6.28125" style="0" customWidth="1"/>
    <col min="3" max="3" width="24.28125" style="0" customWidth="1"/>
    <col min="4" max="4" width="20.00390625" style="0" customWidth="1"/>
    <col min="5" max="5" width="5.7109375" style="0" customWidth="1"/>
    <col min="6" max="7" width="8.00390625" style="0" customWidth="1"/>
    <col min="8" max="8" width="9.28125" style="0" customWidth="1"/>
    <col min="9" max="9" width="7.57421875" style="0" customWidth="1"/>
    <col min="10" max="10" width="0" style="0" hidden="1" customWidth="1"/>
    <col min="11" max="11" width="7.57421875" style="0" customWidth="1"/>
    <col min="12" max="12" width="0" style="0" hidden="1" customWidth="1"/>
    <col min="13" max="13" width="7.57421875" style="0" customWidth="1"/>
    <col min="14" max="16384" width="11.7109375" style="0" customWidth="1"/>
  </cols>
  <sheetData>
    <row r="2" spans="2:13" ht="24.75">
      <c r="B2" s="98" t="s">
        <v>114</v>
      </c>
      <c r="C2" s="98"/>
      <c r="D2" s="98"/>
      <c r="E2" s="98"/>
      <c r="F2" s="98"/>
      <c r="G2" s="98"/>
      <c r="H2" s="98"/>
      <c r="I2" s="98"/>
      <c r="K2" s="175"/>
      <c r="L2" s="175"/>
      <c r="M2" s="175"/>
    </row>
    <row r="4" spans="3:13" ht="19.5">
      <c r="C4" s="99" t="s">
        <v>115</v>
      </c>
      <c r="D4" s="99"/>
      <c r="E4" s="99"/>
      <c r="F4" s="99"/>
      <c r="G4" s="99"/>
      <c r="H4" s="99"/>
      <c r="I4" s="99"/>
      <c r="J4" s="99"/>
      <c r="K4" s="99"/>
      <c r="L4" s="99"/>
      <c r="M4" s="99"/>
    </row>
    <row r="6" ht="17.25">
      <c r="C6" s="100" t="s">
        <v>33</v>
      </c>
    </row>
    <row r="8" spans="2:13" ht="27.75">
      <c r="B8" s="101" t="s">
        <v>34</v>
      </c>
      <c r="C8" s="102" t="s">
        <v>35</v>
      </c>
      <c r="D8" s="102" t="s">
        <v>36</v>
      </c>
      <c r="E8" s="103" t="s">
        <v>6</v>
      </c>
      <c r="F8" s="104" t="s">
        <v>37</v>
      </c>
      <c r="G8" s="104" t="s">
        <v>38</v>
      </c>
      <c r="H8" s="105" t="s">
        <v>39</v>
      </c>
      <c r="I8" s="106" t="s">
        <v>40</v>
      </c>
      <c r="J8" s="108"/>
      <c r="K8" s="109" t="s">
        <v>42</v>
      </c>
      <c r="L8" s="108"/>
      <c r="M8" s="110" t="s">
        <v>43</v>
      </c>
    </row>
    <row r="9" spans="2:13" ht="15">
      <c r="B9" s="111">
        <v>1</v>
      </c>
      <c r="C9" s="112" t="s">
        <v>116</v>
      </c>
      <c r="D9" s="112" t="s">
        <v>20</v>
      </c>
      <c r="E9" s="113" t="s">
        <v>21</v>
      </c>
      <c r="F9" s="114">
        <v>23.52</v>
      </c>
      <c r="G9" s="114">
        <v>17.99</v>
      </c>
      <c r="H9" s="160">
        <f aca="true" t="shared" si="0" ref="H9:H23">IF(OR(N(F9),N(G9)),MIN(F9,G9),"NP")</f>
        <v>17.99</v>
      </c>
      <c r="I9" s="116" t="e">
        <f aca="true" t="shared" si="1" ref="I9:I14">IF(N(H9),RANK(H9,H$9:H$23,1),COUNT(H$9:H$23)+1)</f>
        <v>#VALUE!</v>
      </c>
      <c r="J9" s="176">
        <f aca="true" t="shared" si="2" ref="J9:J23">IF(E9="KO",H9,"")</f>
      </c>
      <c r="K9" s="177">
        <f aca="true" t="shared" si="3" ref="K9:K23">IF(J9&lt;&gt;"",IF(N(J9),RANK(J9,J$9:J$23,1),COUNT(J$9:J$23)+1),"")</f>
      </c>
      <c r="L9" s="178">
        <f aca="true" t="shared" si="4" ref="L9:L23">IF(E9="KH",H9,"")</f>
        <v>17.99</v>
      </c>
      <c r="M9" s="177" t="e">
        <f aca="true" t="shared" si="5" ref="M9:M14">IF(L9&lt;&gt;"",IF(N(L9),RANK(L9,L$9:L$23,1),COUNT(L$9:L$23)+1),"")</f>
        <v>#VALUE!</v>
      </c>
    </row>
    <row r="10" spans="2:13" ht="15">
      <c r="B10" s="120">
        <v>3</v>
      </c>
      <c r="C10" s="121" t="s">
        <v>117</v>
      </c>
      <c r="D10" s="121" t="s">
        <v>26</v>
      </c>
      <c r="E10" s="122" t="s">
        <v>21</v>
      </c>
      <c r="F10" s="123">
        <v>18.96</v>
      </c>
      <c r="G10" s="130">
        <v>20.29</v>
      </c>
      <c r="H10" s="164">
        <f t="shared" si="0"/>
        <v>18.96</v>
      </c>
      <c r="I10" s="125" t="e">
        <f t="shared" si="1"/>
        <v>#VALUE!</v>
      </c>
      <c r="J10" s="179">
        <f t="shared" si="2"/>
      </c>
      <c r="K10" s="127">
        <f t="shared" si="3"/>
      </c>
      <c r="L10" s="118">
        <f t="shared" si="4"/>
        <v>18.96</v>
      </c>
      <c r="M10" s="127" t="e">
        <f t="shared" si="5"/>
        <v>#VALUE!</v>
      </c>
    </row>
    <row r="11" spans="2:13" ht="15">
      <c r="B11" s="120">
        <v>5</v>
      </c>
      <c r="C11" s="128" t="s">
        <v>118</v>
      </c>
      <c r="D11" s="128" t="s">
        <v>119</v>
      </c>
      <c r="E11" s="129" t="s">
        <v>24</v>
      </c>
      <c r="F11" s="123">
        <v>24.82</v>
      </c>
      <c r="G11" s="123">
        <v>19.78</v>
      </c>
      <c r="H11" s="164">
        <f t="shared" si="0"/>
        <v>19.78</v>
      </c>
      <c r="I11" s="125" t="e">
        <f t="shared" si="1"/>
        <v>#VALUE!</v>
      </c>
      <c r="J11" s="179">
        <f t="shared" si="2"/>
        <v>19.78</v>
      </c>
      <c r="K11" s="127">
        <f t="shared" si="3"/>
        <v>1</v>
      </c>
      <c r="L11" s="118">
        <f t="shared" si="4"/>
      </c>
      <c r="M11" s="127">
        <f t="shared" si="5"/>
      </c>
    </row>
    <row r="12" spans="2:13" ht="15">
      <c r="B12" s="120">
        <v>8</v>
      </c>
      <c r="C12" s="128" t="s">
        <v>53</v>
      </c>
      <c r="D12" s="128" t="s">
        <v>26</v>
      </c>
      <c r="E12" s="129" t="s">
        <v>21</v>
      </c>
      <c r="F12" s="130">
        <v>19.54</v>
      </c>
      <c r="G12" s="130">
        <v>19.56</v>
      </c>
      <c r="H12" s="164">
        <f t="shared" si="0"/>
        <v>19.54</v>
      </c>
      <c r="I12" s="125" t="e">
        <f t="shared" si="1"/>
        <v>#VALUE!</v>
      </c>
      <c r="J12" s="179">
        <f t="shared" si="2"/>
      </c>
      <c r="K12" s="127">
        <f t="shared" si="3"/>
      </c>
      <c r="L12" s="118">
        <f t="shared" si="4"/>
        <v>19.54</v>
      </c>
      <c r="M12" s="127" t="e">
        <f t="shared" si="5"/>
        <v>#VALUE!</v>
      </c>
    </row>
    <row r="13" spans="2:13" ht="15">
      <c r="B13" s="120">
        <v>10</v>
      </c>
      <c r="C13" s="128" t="s">
        <v>120</v>
      </c>
      <c r="D13" s="128" t="s">
        <v>56</v>
      </c>
      <c r="E13" s="129" t="s">
        <v>21</v>
      </c>
      <c r="F13" s="123">
        <v>18.87</v>
      </c>
      <c r="G13" s="123">
        <v>18.72</v>
      </c>
      <c r="H13" s="164">
        <f t="shared" si="0"/>
        <v>18.72</v>
      </c>
      <c r="I13" s="125" t="e">
        <f t="shared" si="1"/>
        <v>#VALUE!</v>
      </c>
      <c r="J13" s="179">
        <f t="shared" si="2"/>
      </c>
      <c r="K13" s="127">
        <f t="shared" si="3"/>
      </c>
      <c r="L13" s="118">
        <f t="shared" si="4"/>
        <v>18.72</v>
      </c>
      <c r="M13" s="127" t="e">
        <f t="shared" si="5"/>
        <v>#VALUE!</v>
      </c>
    </row>
    <row r="14" spans="2:13" ht="15">
      <c r="B14" s="120">
        <v>15</v>
      </c>
      <c r="C14" s="128" t="s">
        <v>61</v>
      </c>
      <c r="D14" s="128" t="s">
        <v>50</v>
      </c>
      <c r="E14" s="129" t="s">
        <v>24</v>
      </c>
      <c r="F14" s="130">
        <v>21.7</v>
      </c>
      <c r="G14" s="123">
        <v>20.9</v>
      </c>
      <c r="H14" s="124">
        <f t="shared" si="0"/>
        <v>20.9</v>
      </c>
      <c r="I14" s="125" t="e">
        <f t="shared" si="1"/>
        <v>#VALUE!</v>
      </c>
      <c r="J14" s="179">
        <f t="shared" si="2"/>
        <v>20.9</v>
      </c>
      <c r="K14" s="127">
        <f t="shared" si="3"/>
        <v>2</v>
      </c>
      <c r="L14" s="118">
        <f t="shared" si="4"/>
      </c>
      <c r="M14" s="127">
        <f t="shared" si="5"/>
      </c>
    </row>
    <row r="15" spans="2:13" ht="15">
      <c r="B15" s="120">
        <v>18</v>
      </c>
      <c r="C15" s="128" t="s">
        <v>64</v>
      </c>
      <c r="D15" s="128" t="s">
        <v>26</v>
      </c>
      <c r="E15" s="129" t="s">
        <v>21</v>
      </c>
      <c r="F15" s="130">
        <v>19.21</v>
      </c>
      <c r="G15" s="123">
        <v>18.72</v>
      </c>
      <c r="H15" s="124">
        <f t="shared" si="0"/>
        <v>18.72</v>
      </c>
      <c r="I15" s="125">
        <v>6</v>
      </c>
      <c r="J15" s="179">
        <f t="shared" si="2"/>
      </c>
      <c r="K15" s="127">
        <f t="shared" si="3"/>
      </c>
      <c r="L15" s="118">
        <f t="shared" si="4"/>
        <v>18.72</v>
      </c>
      <c r="M15" s="127">
        <v>6</v>
      </c>
    </row>
    <row r="16" spans="2:13" ht="15">
      <c r="B16" s="120">
        <v>19</v>
      </c>
      <c r="C16" s="128" t="s">
        <v>65</v>
      </c>
      <c r="D16" s="128" t="s">
        <v>27</v>
      </c>
      <c r="E16" s="129" t="s">
        <v>21</v>
      </c>
      <c r="F16" s="130">
        <v>23.13</v>
      </c>
      <c r="G16" s="123">
        <v>21.34</v>
      </c>
      <c r="H16" s="124">
        <f t="shared" si="0"/>
        <v>21.34</v>
      </c>
      <c r="I16" s="125" t="e">
        <f aca="true" t="shared" si="6" ref="I16:I22">IF(N(H16),RANK(H16,H$9:H$23,1),COUNT(H$9:H$23)+1)</f>
        <v>#VALUE!</v>
      </c>
      <c r="J16" s="179">
        <f t="shared" si="2"/>
      </c>
      <c r="K16" s="127">
        <f t="shared" si="3"/>
      </c>
      <c r="L16" s="118">
        <f t="shared" si="4"/>
        <v>21.34</v>
      </c>
      <c r="M16" s="127" t="e">
        <f aca="true" t="shared" si="7" ref="M16:M22">IF(L16&lt;&gt;"",IF(N(L16),RANK(L16,L$9:L$23,1),COUNT(L$9:L$23)+1),"")</f>
        <v>#VALUE!</v>
      </c>
    </row>
    <row r="17" spans="2:13" ht="15">
      <c r="B17" s="120">
        <v>20</v>
      </c>
      <c r="C17" s="128" t="s">
        <v>121</v>
      </c>
      <c r="D17" s="128"/>
      <c r="E17" s="129"/>
      <c r="F17" s="130"/>
      <c r="G17" s="130"/>
      <c r="H17" s="124" t="str">
        <f t="shared" si="0"/>
        <v>NP</v>
      </c>
      <c r="I17" s="125">
        <f t="shared" si="6"/>
        <v>14</v>
      </c>
      <c r="J17" s="179">
        <f t="shared" si="2"/>
      </c>
      <c r="K17" s="127">
        <f t="shared" si="3"/>
      </c>
      <c r="L17" s="118">
        <f t="shared" si="4"/>
      </c>
      <c r="M17" s="127">
        <f t="shared" si="7"/>
      </c>
    </row>
    <row r="18" spans="2:13" ht="15">
      <c r="B18" s="120">
        <v>24</v>
      </c>
      <c r="C18" s="128" t="s">
        <v>69</v>
      </c>
      <c r="D18" s="128" t="s">
        <v>27</v>
      </c>
      <c r="E18" s="129" t="s">
        <v>21</v>
      </c>
      <c r="F18" s="130">
        <v>23.46</v>
      </c>
      <c r="G18" s="123">
        <v>19.17</v>
      </c>
      <c r="H18" s="124">
        <f t="shared" si="0"/>
        <v>19.17</v>
      </c>
      <c r="I18" s="125" t="e">
        <f t="shared" si="6"/>
        <v>#VALUE!</v>
      </c>
      <c r="J18" s="179">
        <f t="shared" si="2"/>
      </c>
      <c r="K18" s="127">
        <f t="shared" si="3"/>
      </c>
      <c r="L18" s="118">
        <f t="shared" si="4"/>
        <v>19.17</v>
      </c>
      <c r="M18" s="127" t="e">
        <f t="shared" si="7"/>
        <v>#VALUE!</v>
      </c>
    </row>
    <row r="19" spans="2:13" ht="15">
      <c r="B19" s="120">
        <v>25</v>
      </c>
      <c r="C19" s="128" t="s">
        <v>70</v>
      </c>
      <c r="D19" s="128" t="s">
        <v>50</v>
      </c>
      <c r="E19" s="129" t="s">
        <v>24</v>
      </c>
      <c r="F19" s="130">
        <v>21.92</v>
      </c>
      <c r="G19" s="123">
        <v>22.24</v>
      </c>
      <c r="H19" s="124">
        <f t="shared" si="0"/>
        <v>21.92</v>
      </c>
      <c r="I19" s="125" t="e">
        <f t="shared" si="6"/>
        <v>#VALUE!</v>
      </c>
      <c r="J19" s="179">
        <f t="shared" si="2"/>
        <v>21.92</v>
      </c>
      <c r="K19" s="127">
        <f t="shared" si="3"/>
        <v>4</v>
      </c>
      <c r="L19" s="118">
        <f t="shared" si="4"/>
      </c>
      <c r="M19" s="127">
        <f t="shared" si="7"/>
      </c>
    </row>
    <row r="20" spans="2:13" ht="15">
      <c r="B20" s="120">
        <v>26</v>
      </c>
      <c r="C20" s="128" t="s">
        <v>71</v>
      </c>
      <c r="D20" s="128" t="s">
        <v>20</v>
      </c>
      <c r="E20" s="129" t="s">
        <v>21</v>
      </c>
      <c r="F20" s="130">
        <v>20.62</v>
      </c>
      <c r="G20" s="130">
        <v>18.17</v>
      </c>
      <c r="H20" s="124">
        <f t="shared" si="0"/>
        <v>18.17</v>
      </c>
      <c r="I20" s="125" t="e">
        <f t="shared" si="6"/>
        <v>#VALUE!</v>
      </c>
      <c r="J20" s="179">
        <f t="shared" si="2"/>
      </c>
      <c r="K20" s="127">
        <f t="shared" si="3"/>
      </c>
      <c r="L20" s="118">
        <f t="shared" si="4"/>
        <v>18.17</v>
      </c>
      <c r="M20" s="127" t="e">
        <f t="shared" si="7"/>
        <v>#VALUE!</v>
      </c>
    </row>
    <row r="21" spans="2:13" ht="15">
      <c r="B21" s="132">
        <v>30</v>
      </c>
      <c r="C21" s="133" t="s">
        <v>75</v>
      </c>
      <c r="D21" s="133" t="s">
        <v>50</v>
      </c>
      <c r="E21" s="134" t="s">
        <v>24</v>
      </c>
      <c r="F21" s="135">
        <v>21.98</v>
      </c>
      <c r="G21" s="135">
        <v>21.69</v>
      </c>
      <c r="H21" s="137">
        <f t="shared" si="0"/>
        <v>21.69</v>
      </c>
      <c r="I21" s="138" t="e">
        <f t="shared" si="6"/>
        <v>#VALUE!</v>
      </c>
      <c r="J21" s="179">
        <f t="shared" si="2"/>
        <v>21.69</v>
      </c>
      <c r="K21" s="141">
        <f t="shared" si="3"/>
        <v>3</v>
      </c>
      <c r="L21" s="140">
        <f t="shared" si="4"/>
      </c>
      <c r="M21" s="141">
        <f t="shared" si="7"/>
      </c>
    </row>
    <row r="22" spans="2:13" ht="15">
      <c r="B22" s="132">
        <v>31</v>
      </c>
      <c r="C22" s="133" t="s">
        <v>76</v>
      </c>
      <c r="D22" s="133" t="s">
        <v>20</v>
      </c>
      <c r="E22" s="134" t="s">
        <v>21</v>
      </c>
      <c r="F22" s="135">
        <v>18.19</v>
      </c>
      <c r="G22" s="135">
        <v>17.65</v>
      </c>
      <c r="H22" s="137">
        <f t="shared" si="0"/>
        <v>17.65</v>
      </c>
      <c r="I22" s="138" t="e">
        <f t="shared" si="6"/>
        <v>#VALUE!</v>
      </c>
      <c r="J22" s="179">
        <f t="shared" si="2"/>
      </c>
      <c r="K22" s="141">
        <f t="shared" si="3"/>
      </c>
      <c r="L22" s="140">
        <f t="shared" si="4"/>
        <v>17.65</v>
      </c>
      <c r="M22" s="141" t="e">
        <f t="shared" si="7"/>
        <v>#VALUE!</v>
      </c>
    </row>
    <row r="23" spans="2:13" ht="15">
      <c r="B23" s="142">
        <v>33</v>
      </c>
      <c r="C23" s="143" t="s">
        <v>122</v>
      </c>
      <c r="D23" s="143" t="s">
        <v>20</v>
      </c>
      <c r="E23" s="144" t="s">
        <v>21</v>
      </c>
      <c r="F23" s="145" t="s">
        <v>25</v>
      </c>
      <c r="G23" s="180">
        <v>17.65</v>
      </c>
      <c r="H23" s="147" t="e">
        <f t="shared" si="0"/>
        <v>#VALUE!</v>
      </c>
      <c r="I23" s="148">
        <v>2</v>
      </c>
      <c r="J23" s="181">
        <f t="shared" si="2"/>
      </c>
      <c r="K23" s="151">
        <f t="shared" si="3"/>
      </c>
      <c r="L23" s="150" t="e">
        <f t="shared" si="4"/>
        <v>#VALUE!</v>
      </c>
      <c r="M23" s="151">
        <v>2</v>
      </c>
    </row>
    <row r="24" spans="2:9" ht="15">
      <c r="B24" s="152"/>
      <c r="F24" s="154"/>
      <c r="G24" s="155"/>
      <c r="H24" s="154"/>
      <c r="I24" s="156"/>
    </row>
    <row r="25" spans="2:9" ht="15">
      <c r="B25" s="152"/>
      <c r="C25" s="153"/>
      <c r="D25" s="153"/>
      <c r="E25" s="153"/>
      <c r="F25" s="154"/>
      <c r="G25" s="155"/>
      <c r="H25" s="154"/>
      <c r="I25" s="156"/>
    </row>
    <row r="26" spans="2:9" ht="15">
      <c r="B26" s="152"/>
      <c r="F26" s="154"/>
      <c r="G26" s="155"/>
      <c r="H26" s="154"/>
      <c r="I26" s="156"/>
    </row>
    <row r="27" spans="2:9" ht="15">
      <c r="B27" s="152"/>
      <c r="C27" s="153"/>
      <c r="D27" s="153"/>
      <c r="E27" s="153"/>
      <c r="F27" s="154"/>
      <c r="G27" s="155"/>
      <c r="H27" s="154"/>
      <c r="I27" s="156"/>
    </row>
    <row r="28" spans="2:9" ht="15">
      <c r="B28" s="152"/>
      <c r="C28" s="153"/>
      <c r="D28" s="153"/>
      <c r="E28" s="153"/>
      <c r="F28" s="154"/>
      <c r="G28" s="155"/>
      <c r="H28" s="154"/>
      <c r="I28" s="156"/>
    </row>
    <row r="29" spans="2:9" ht="15">
      <c r="B29" s="152"/>
      <c r="C29" s="153"/>
      <c r="D29" s="153"/>
      <c r="E29" s="153"/>
      <c r="F29" s="154"/>
      <c r="G29" s="155"/>
      <c r="H29" s="154"/>
      <c r="I29" s="156"/>
    </row>
    <row r="30" spans="2:9" ht="15">
      <c r="B30" s="152"/>
      <c r="C30" s="153"/>
      <c r="D30" s="153"/>
      <c r="E30" s="153"/>
      <c r="F30" s="154"/>
      <c r="G30" s="155"/>
      <c r="H30" s="154"/>
      <c r="I30" s="156"/>
    </row>
    <row r="31" spans="2:9" ht="15">
      <c r="B31" s="152"/>
      <c r="C31" s="153"/>
      <c r="D31" s="153"/>
      <c r="E31" s="153"/>
      <c r="F31" s="154"/>
      <c r="G31" s="155"/>
      <c r="H31" s="154"/>
      <c r="I31" s="156"/>
    </row>
    <row r="32" spans="2:9" ht="15">
      <c r="B32" s="152"/>
      <c r="C32" s="153"/>
      <c r="D32" s="153"/>
      <c r="E32" s="153"/>
      <c r="F32" s="154"/>
      <c r="G32" s="155"/>
      <c r="H32" s="154"/>
      <c r="I32" s="156"/>
    </row>
    <row r="33" spans="2:9" ht="15">
      <c r="B33" s="152"/>
      <c r="C33" s="153"/>
      <c r="D33" s="153"/>
      <c r="E33" s="153"/>
      <c r="F33" s="154"/>
      <c r="G33" s="155"/>
      <c r="H33" s="154"/>
      <c r="I33" s="156"/>
    </row>
    <row r="34" spans="2:9" ht="15">
      <c r="B34" s="152"/>
      <c r="C34" s="153"/>
      <c r="D34" s="153"/>
      <c r="E34" s="153"/>
      <c r="F34" s="154"/>
      <c r="G34" s="155"/>
      <c r="H34" s="154"/>
      <c r="I34" s="156"/>
    </row>
  </sheetData>
  <sheetProtection selectLockedCells="1" selectUnlockedCells="1"/>
  <mergeCells count="2">
    <mergeCell ref="B2:I2"/>
    <mergeCell ref="C4:M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workbookViewId="0" topLeftCell="A4">
      <selection activeCell="H9" sqref="H9"/>
    </sheetView>
  </sheetViews>
  <sheetFormatPr defaultColWidth="12.57421875" defaultRowHeight="12.75"/>
  <cols>
    <col min="1" max="1" width="2.140625" style="0" customWidth="1"/>
    <col min="2" max="2" width="6.28125" style="0" customWidth="1"/>
    <col min="3" max="3" width="24.28125" style="0" customWidth="1"/>
    <col min="4" max="4" width="20.00390625" style="0" customWidth="1"/>
    <col min="5" max="5" width="5.7109375" style="0" customWidth="1"/>
    <col min="6" max="7" width="8.00390625" style="0" customWidth="1"/>
    <col min="8" max="8" width="9.28125" style="0" customWidth="1"/>
    <col min="9" max="9" width="7.57421875" style="0" customWidth="1"/>
    <col min="10" max="10" width="0" style="0" hidden="1" customWidth="1"/>
    <col min="11" max="11" width="7.57421875" style="0" customWidth="1"/>
    <col min="12" max="12" width="0" style="0" hidden="1" customWidth="1"/>
    <col min="13" max="13" width="7.57421875" style="0" customWidth="1"/>
    <col min="14" max="16384" width="11.7109375" style="0" customWidth="1"/>
  </cols>
  <sheetData>
    <row r="2" spans="2:13" ht="24.75">
      <c r="B2" s="98" t="s">
        <v>123</v>
      </c>
      <c r="C2" s="98"/>
      <c r="D2" s="98"/>
      <c r="E2" s="98"/>
      <c r="F2" s="98"/>
      <c r="G2" s="98"/>
      <c r="H2" s="98"/>
      <c r="I2" s="98"/>
      <c r="K2" s="175"/>
      <c r="L2" s="175"/>
      <c r="M2" s="175"/>
    </row>
    <row r="4" spans="3:5" ht="19.5">
      <c r="C4" s="99" t="s">
        <v>2</v>
      </c>
      <c r="D4" s="99"/>
      <c r="E4" s="99"/>
    </row>
    <row r="6" ht="17.25">
      <c r="C6" s="100" t="s">
        <v>82</v>
      </c>
    </row>
    <row r="8" spans="2:13" ht="27.75">
      <c r="B8" s="101" t="s">
        <v>34</v>
      </c>
      <c r="C8" s="102" t="s">
        <v>35</v>
      </c>
      <c r="D8" s="102" t="s">
        <v>36</v>
      </c>
      <c r="E8" s="103" t="s">
        <v>6</v>
      </c>
      <c r="F8" s="104" t="s">
        <v>37</v>
      </c>
      <c r="G8" s="104" t="s">
        <v>38</v>
      </c>
      <c r="H8" s="105" t="s">
        <v>39</v>
      </c>
      <c r="I8" s="182" t="s">
        <v>40</v>
      </c>
      <c r="J8" s="183"/>
      <c r="K8" s="109" t="s">
        <v>42</v>
      </c>
      <c r="L8" s="108"/>
      <c r="M8" s="110" t="s">
        <v>43</v>
      </c>
    </row>
    <row r="9" spans="2:13" ht="15">
      <c r="B9" s="184">
        <v>53</v>
      </c>
      <c r="C9" s="112" t="s">
        <v>86</v>
      </c>
      <c r="D9" s="112" t="s">
        <v>87</v>
      </c>
      <c r="E9" s="162" t="s">
        <v>24</v>
      </c>
      <c r="F9" s="185" t="s">
        <v>25</v>
      </c>
      <c r="G9" s="185" t="s">
        <v>25</v>
      </c>
      <c r="H9" s="186" t="e">
        <f aca="true" t="shared" si="0" ref="H9:H16">IF(OR(N(F9),N(G9)),MIN(F9,G9),"NP")</f>
        <v>#VALUE!</v>
      </c>
      <c r="I9" s="187">
        <f aca="true" t="shared" si="1" ref="I9:I16">IF(N(H9),RANK(H9,H$9:H$16,1),COUNT(H$9:H$16)+1)</f>
        <v>4</v>
      </c>
      <c r="J9" s="188" t="e">
        <f aca="true" t="shared" si="2" ref="J9:J16">IF(E9="KO",H9,"")</f>
        <v>#VALUE!</v>
      </c>
      <c r="K9" s="177">
        <f aca="true" t="shared" si="3" ref="K9:K16">IF(J9&lt;&gt;"",IF(N(J9),RANK(J9,J$9:J$16,1),COUNT(J$9:J$16)+1),"")</f>
      </c>
      <c r="L9" s="178">
        <f aca="true" t="shared" si="4" ref="L9:L16">IF(E9="KH",H9,"")</f>
      </c>
      <c r="M9" s="177">
        <f aca="true" t="shared" si="5" ref="M9:M16">IF(L9&lt;&gt;"",IF(N(L9),RANK(L9,L$9:L$16,1),COUNT(L$9:L$16)+1),"")</f>
      </c>
    </row>
    <row r="10" spans="2:13" ht="15">
      <c r="B10" s="120">
        <v>56</v>
      </c>
      <c r="C10" s="121" t="s">
        <v>90</v>
      </c>
      <c r="D10" s="121" t="s">
        <v>87</v>
      </c>
      <c r="E10" s="122" t="s">
        <v>24</v>
      </c>
      <c r="F10" s="123">
        <v>26.47</v>
      </c>
      <c r="G10" s="130">
        <v>24.4</v>
      </c>
      <c r="H10" s="186">
        <f t="shared" si="0"/>
        <v>24.4</v>
      </c>
      <c r="I10" s="189" t="e">
        <f t="shared" si="1"/>
        <v>#VALUE!</v>
      </c>
      <c r="J10" s="188">
        <f t="shared" si="2"/>
        <v>24.4</v>
      </c>
      <c r="K10" s="127" t="e">
        <f t="shared" si="3"/>
        <v>#VALUE!</v>
      </c>
      <c r="L10" s="118">
        <f t="shared" si="4"/>
      </c>
      <c r="M10" s="127">
        <f t="shared" si="5"/>
      </c>
    </row>
    <row r="11" spans="2:13" ht="15">
      <c r="B11" s="120">
        <v>59</v>
      </c>
      <c r="C11" s="121" t="s">
        <v>93</v>
      </c>
      <c r="D11" s="121" t="s">
        <v>20</v>
      </c>
      <c r="E11" s="122" t="s">
        <v>21</v>
      </c>
      <c r="F11" s="123">
        <v>20.9</v>
      </c>
      <c r="G11" s="130" t="s">
        <v>25</v>
      </c>
      <c r="H11" s="186" t="e">
        <f t="shared" si="0"/>
        <v>#VALUE!</v>
      </c>
      <c r="I11" s="189">
        <f t="shared" si="1"/>
        <v>4</v>
      </c>
      <c r="J11" s="188">
        <f t="shared" si="2"/>
      </c>
      <c r="K11" s="127">
        <f t="shared" si="3"/>
      </c>
      <c r="L11" s="118" t="e">
        <f t="shared" si="4"/>
        <v>#VALUE!</v>
      </c>
      <c r="M11" s="127">
        <f t="shared" si="5"/>
      </c>
    </row>
    <row r="12" spans="2:13" ht="15">
      <c r="B12" s="184">
        <v>61</v>
      </c>
      <c r="C12" s="121" t="s">
        <v>95</v>
      </c>
      <c r="D12" s="121" t="s">
        <v>29</v>
      </c>
      <c r="E12" s="122" t="s">
        <v>21</v>
      </c>
      <c r="F12" s="123">
        <v>27.5</v>
      </c>
      <c r="G12" s="123">
        <v>23.43</v>
      </c>
      <c r="H12" s="186">
        <f t="shared" si="0"/>
        <v>23.43</v>
      </c>
      <c r="I12" s="189" t="e">
        <f t="shared" si="1"/>
        <v>#VALUE!</v>
      </c>
      <c r="J12" s="188">
        <f t="shared" si="2"/>
      </c>
      <c r="K12" s="127">
        <f t="shared" si="3"/>
      </c>
      <c r="L12" s="118">
        <f t="shared" si="4"/>
        <v>23.43</v>
      </c>
      <c r="M12" s="127" t="e">
        <f t="shared" si="5"/>
        <v>#VALUE!</v>
      </c>
    </row>
    <row r="13" spans="2:13" ht="15">
      <c r="B13" s="184">
        <v>62</v>
      </c>
      <c r="C13" s="121" t="s">
        <v>121</v>
      </c>
      <c r="D13" s="121"/>
      <c r="E13" s="122"/>
      <c r="F13" s="123"/>
      <c r="G13" s="130"/>
      <c r="H13" s="186" t="str">
        <f t="shared" si="0"/>
        <v>NP</v>
      </c>
      <c r="I13" s="189">
        <f t="shared" si="1"/>
        <v>4</v>
      </c>
      <c r="J13" s="188">
        <f t="shared" si="2"/>
      </c>
      <c r="K13" s="127">
        <f t="shared" si="3"/>
      </c>
      <c r="L13" s="118">
        <f t="shared" si="4"/>
      </c>
      <c r="M13" s="127">
        <f t="shared" si="5"/>
      </c>
    </row>
    <row r="14" spans="2:13" ht="15">
      <c r="B14" s="120">
        <v>65</v>
      </c>
      <c r="C14" s="128" t="s">
        <v>100</v>
      </c>
      <c r="D14" s="128" t="s">
        <v>20</v>
      </c>
      <c r="E14" s="129" t="s">
        <v>21</v>
      </c>
      <c r="F14" s="123">
        <v>24.26</v>
      </c>
      <c r="G14" s="130" t="s">
        <v>25</v>
      </c>
      <c r="H14" s="186" t="e">
        <f t="shared" si="0"/>
        <v>#VALUE!</v>
      </c>
      <c r="I14" s="189">
        <f t="shared" si="1"/>
        <v>4</v>
      </c>
      <c r="J14" s="188">
        <f t="shared" si="2"/>
      </c>
      <c r="K14" s="127">
        <f t="shared" si="3"/>
      </c>
      <c r="L14" s="118" t="e">
        <f t="shared" si="4"/>
        <v>#VALUE!</v>
      </c>
      <c r="M14" s="127">
        <f t="shared" si="5"/>
      </c>
    </row>
    <row r="15" spans="2:13" ht="15">
      <c r="B15" s="120">
        <v>67</v>
      </c>
      <c r="C15" s="121" t="s">
        <v>121</v>
      </c>
      <c r="D15" s="121"/>
      <c r="E15" s="122"/>
      <c r="F15" s="123"/>
      <c r="G15" s="123"/>
      <c r="H15" s="186" t="str">
        <f t="shared" si="0"/>
        <v>NP</v>
      </c>
      <c r="I15" s="189">
        <f t="shared" si="1"/>
        <v>4</v>
      </c>
      <c r="J15" s="188">
        <f t="shared" si="2"/>
      </c>
      <c r="K15" s="127">
        <f t="shared" si="3"/>
      </c>
      <c r="L15" s="118">
        <f t="shared" si="4"/>
      </c>
      <c r="M15" s="127">
        <f t="shared" si="5"/>
      </c>
    </row>
    <row r="16" spans="2:13" ht="15">
      <c r="B16" s="142">
        <v>68</v>
      </c>
      <c r="C16" s="171" t="s">
        <v>103</v>
      </c>
      <c r="D16" s="171" t="s">
        <v>27</v>
      </c>
      <c r="E16" s="168" t="s">
        <v>21</v>
      </c>
      <c r="F16" s="180">
        <v>21.82</v>
      </c>
      <c r="G16" s="145">
        <v>22.17</v>
      </c>
      <c r="H16" s="190">
        <f t="shared" si="0"/>
        <v>21.82</v>
      </c>
      <c r="I16" s="191" t="e">
        <f t="shared" si="1"/>
        <v>#VALUE!</v>
      </c>
      <c r="J16" s="192">
        <f t="shared" si="2"/>
      </c>
      <c r="K16" s="151">
        <f t="shared" si="3"/>
      </c>
      <c r="L16" s="150">
        <f t="shared" si="4"/>
        <v>21.82</v>
      </c>
      <c r="M16" s="151" t="e">
        <f t="shared" si="5"/>
        <v>#VALUE!</v>
      </c>
    </row>
    <row r="17" spans="2:9" ht="15">
      <c r="B17" s="152"/>
      <c r="F17" s="154"/>
      <c r="G17" s="155"/>
      <c r="H17" s="154"/>
      <c r="I17" s="156"/>
    </row>
    <row r="18" spans="2:9" ht="15">
      <c r="B18" s="152"/>
      <c r="F18" s="154"/>
      <c r="G18" s="155"/>
      <c r="H18" s="154"/>
      <c r="I18" s="156"/>
    </row>
    <row r="19" spans="2:9" ht="15">
      <c r="B19" s="152"/>
      <c r="F19" s="154"/>
      <c r="G19" s="155"/>
      <c r="H19" s="154"/>
      <c r="I19" s="156"/>
    </row>
    <row r="20" spans="2:9" ht="15">
      <c r="B20" s="152"/>
      <c r="F20" s="154"/>
      <c r="G20" s="155"/>
      <c r="H20" s="154"/>
      <c r="I20" s="156"/>
    </row>
    <row r="21" spans="2:9" ht="15">
      <c r="B21" s="152"/>
      <c r="F21" s="154"/>
      <c r="G21" s="155"/>
      <c r="H21" s="154"/>
      <c r="I21" s="156"/>
    </row>
    <row r="22" spans="2:9" ht="15">
      <c r="B22" s="152"/>
      <c r="F22" s="154"/>
      <c r="G22" s="155"/>
      <c r="H22" s="154"/>
      <c r="I22" s="156"/>
    </row>
    <row r="23" spans="2:9" ht="15">
      <c r="B23" s="152"/>
      <c r="F23" s="154"/>
      <c r="G23" s="155"/>
      <c r="H23" s="154"/>
      <c r="I23" s="156"/>
    </row>
    <row r="32" spans="2:6" ht="12.75">
      <c r="B32" s="131"/>
      <c r="C32" s="131"/>
      <c r="D32" s="131"/>
      <c r="E32" s="131"/>
      <c r="F32" s="131"/>
    </row>
    <row r="33" spans="2:6" ht="12.75">
      <c r="B33" s="131"/>
      <c r="C33" s="131"/>
      <c r="D33" s="131"/>
      <c r="E33" s="131"/>
      <c r="F33" s="131"/>
    </row>
    <row r="34" spans="2:6" ht="12.75">
      <c r="B34" s="131"/>
      <c r="C34" s="131"/>
      <c r="D34" s="131"/>
      <c r="E34" s="131"/>
      <c r="F34" s="131"/>
    </row>
    <row r="35" spans="2:6" ht="12.75">
      <c r="B35" s="131"/>
      <c r="C35" s="131"/>
      <c r="D35" s="131"/>
      <c r="E35" s="131"/>
      <c r="F35" s="131"/>
    </row>
  </sheetData>
  <sheetProtection selectLockedCells="1" selectUnlockedCells="1"/>
  <mergeCells count="2">
    <mergeCell ref="B2:I2"/>
    <mergeCell ref="C4:D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5">
      <selection activeCell="AH10" sqref="AH10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8.57421875" style="0" customWidth="1"/>
    <col min="4" max="4" width="15.7109375" style="0" customWidth="1"/>
    <col min="5" max="5" width="4.57421875" style="0" customWidth="1"/>
    <col min="6" max="6" width="6.7109375" style="0" customWidth="1"/>
    <col min="7" max="8" width="0" style="0" hidden="1" customWidth="1"/>
    <col min="9" max="11" width="5.7109375" style="0" customWidth="1"/>
    <col min="12" max="12" width="6.7109375" style="0" customWidth="1"/>
    <col min="13" max="14" width="0" style="0" hidden="1" customWidth="1"/>
    <col min="15" max="17" width="5.7109375" style="0" customWidth="1"/>
    <col min="18" max="18" width="6.7109375" style="0" customWidth="1"/>
    <col min="19" max="20" width="0" style="0" hidden="1" customWidth="1"/>
    <col min="21" max="23" width="5.7109375" style="0" customWidth="1"/>
    <col min="24" max="24" width="0.42578125" style="0" customWidth="1"/>
    <col min="25" max="25" width="6.00390625" style="0" customWidth="1"/>
    <col min="26" max="27" width="0" style="0" hidden="1" customWidth="1"/>
    <col min="28" max="28" width="0.42578125" style="0" customWidth="1"/>
    <col min="29" max="29" width="6.00390625" style="0" customWidth="1"/>
    <col min="30" max="30" width="0.42578125" style="0" customWidth="1"/>
    <col min="31" max="31" width="6.00390625" style="0" customWidth="1"/>
    <col min="32" max="32" width="0.42578125" style="0" customWidth="1"/>
    <col min="33" max="33" width="6.00390625" style="0" customWidth="1"/>
  </cols>
  <sheetData>
    <row r="1" ht="6.75" customHeight="1"/>
    <row r="2" spans="1:33" ht="24.75">
      <c r="A2" s="193"/>
      <c r="B2" s="194" t="s">
        <v>124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175"/>
      <c r="AF2" s="175"/>
      <c r="AG2" s="175"/>
    </row>
    <row r="3" spans="1:30" ht="1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6"/>
    </row>
    <row r="4" spans="1:30" ht="17.25">
      <c r="A4" s="198"/>
      <c r="B4" s="197"/>
      <c r="C4" s="199" t="s">
        <v>1</v>
      </c>
      <c r="D4" s="199"/>
      <c r="E4" s="199"/>
      <c r="F4" s="199"/>
      <c r="G4" s="200"/>
      <c r="H4" s="200"/>
      <c r="I4" s="200"/>
      <c r="J4" s="200"/>
      <c r="K4" s="201" t="s">
        <v>125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A4" s="202"/>
      <c r="AB4" s="203"/>
      <c r="AC4" s="197"/>
      <c r="AD4" s="196"/>
    </row>
    <row r="5" spans="1:30" ht="1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203"/>
      <c r="Y5" s="197"/>
      <c r="Z5" s="197"/>
      <c r="AA5" s="197"/>
      <c r="AB5" s="203"/>
      <c r="AC5" s="197"/>
      <c r="AD5" s="196"/>
    </row>
    <row r="6" spans="1:30" ht="17.25">
      <c r="A6" s="8"/>
      <c r="B6" s="9"/>
      <c r="C6" s="204" t="s">
        <v>126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3"/>
      <c r="Z6" s="13"/>
      <c r="AA6" s="13"/>
      <c r="AB6" s="14"/>
      <c r="AC6" s="13"/>
      <c r="AD6" s="205"/>
    </row>
    <row r="7" spans="1:33" ht="90" customHeight="1">
      <c r="A7" s="15"/>
      <c r="B7" s="206" t="s">
        <v>4</v>
      </c>
      <c r="C7" s="206" t="s">
        <v>127</v>
      </c>
      <c r="D7" s="206" t="s">
        <v>36</v>
      </c>
      <c r="E7" s="206" t="s">
        <v>6</v>
      </c>
      <c r="F7" s="18" t="s">
        <v>128</v>
      </c>
      <c r="G7" s="18"/>
      <c r="H7" s="18"/>
      <c r="I7" s="18"/>
      <c r="J7" s="18"/>
      <c r="K7" s="18"/>
      <c r="L7" s="19" t="s">
        <v>129</v>
      </c>
      <c r="M7" s="19"/>
      <c r="N7" s="19"/>
      <c r="O7" s="19"/>
      <c r="P7" s="19"/>
      <c r="Q7" s="19"/>
      <c r="R7" s="17" t="s">
        <v>10</v>
      </c>
      <c r="S7" s="17"/>
      <c r="T7" s="17"/>
      <c r="U7" s="17"/>
      <c r="V7" s="17"/>
      <c r="W7" s="17"/>
      <c r="X7" s="20"/>
      <c r="Y7" s="21" t="s">
        <v>12</v>
      </c>
      <c r="Z7" s="21" t="s">
        <v>130</v>
      </c>
      <c r="AA7" s="21" t="s">
        <v>131</v>
      </c>
      <c r="AB7" s="22"/>
      <c r="AC7" s="23" t="s">
        <v>13</v>
      </c>
      <c r="AD7" s="22"/>
      <c r="AE7" s="207" t="s">
        <v>132</v>
      </c>
      <c r="AF7" s="22"/>
      <c r="AG7" s="207" t="s">
        <v>133</v>
      </c>
    </row>
    <row r="8" spans="1:33" ht="12.75" customHeight="1">
      <c r="A8" s="24"/>
      <c r="B8" s="206"/>
      <c r="C8" s="206"/>
      <c r="D8" s="206"/>
      <c r="E8" s="206"/>
      <c r="F8" s="26" t="s">
        <v>134</v>
      </c>
      <c r="G8" s="208" t="s">
        <v>135</v>
      </c>
      <c r="H8" s="208" t="s">
        <v>136</v>
      </c>
      <c r="I8" s="209" t="s">
        <v>14</v>
      </c>
      <c r="J8" s="208" t="s">
        <v>137</v>
      </c>
      <c r="K8" s="210" t="s">
        <v>138</v>
      </c>
      <c r="L8" s="28" t="s">
        <v>134</v>
      </c>
      <c r="M8" s="208" t="s">
        <v>135</v>
      </c>
      <c r="N8" s="208" t="s">
        <v>136</v>
      </c>
      <c r="O8" s="209" t="s">
        <v>14</v>
      </c>
      <c r="P8" s="211" t="s">
        <v>139</v>
      </c>
      <c r="Q8" s="210" t="s">
        <v>140</v>
      </c>
      <c r="R8" s="28" t="s">
        <v>16</v>
      </c>
      <c r="S8" s="208" t="s">
        <v>141</v>
      </c>
      <c r="T8" s="208" t="s">
        <v>142</v>
      </c>
      <c r="U8" s="209" t="s">
        <v>14</v>
      </c>
      <c r="V8" s="208" t="s">
        <v>139</v>
      </c>
      <c r="W8" s="210" t="s">
        <v>138</v>
      </c>
      <c r="X8" s="212"/>
      <c r="Y8" s="21"/>
      <c r="Z8" s="21"/>
      <c r="AA8" s="21"/>
      <c r="AB8" s="212"/>
      <c r="AC8" s="23"/>
      <c r="AD8" s="212"/>
      <c r="AE8" s="207"/>
      <c r="AF8" s="212"/>
      <c r="AG8" s="207"/>
    </row>
    <row r="9" spans="1:33" ht="15" customHeight="1">
      <c r="A9" s="33"/>
      <c r="B9" s="213">
        <v>1</v>
      </c>
      <c r="C9" s="214" t="s">
        <v>116</v>
      </c>
      <c r="D9" s="214" t="s">
        <v>20</v>
      </c>
      <c r="E9" s="215" t="s">
        <v>21</v>
      </c>
      <c r="F9" s="38">
        <v>19</v>
      </c>
      <c r="G9" s="216">
        <f aca="true" t="shared" si="0" ref="G9:G23">IF(AND($E9="KO",F9&lt;&gt;""),F9,"")</f>
      </c>
      <c r="H9" s="216">
        <f aca="true" t="shared" si="1" ref="H9:H23">IF(AND($E9="KH",F9&lt;&gt;""),F9,"")</f>
        <v>19</v>
      </c>
      <c r="I9" s="217">
        <f aca="true" t="shared" si="2" ref="I9:I23">IF(N(F9),RANK(F9,F$9:F$23,1),COUNT(F$9:F$23)+1)</f>
        <v>1</v>
      </c>
      <c r="J9" s="218">
        <f aca="true" t="shared" si="3" ref="J9:J23">IF(E9="KO",IF(N(G9),RANK(G9,G$9:G$23,1),COUNT(G$9:G$23)+1),"")</f>
      </c>
      <c r="K9" s="218">
        <f aca="true" t="shared" si="4" ref="K9:K23">IF(E9="KH",IF(N(H9),RANK(H9,H$9:H$23,1),COUNT(H$9:H$23)+1),"")</f>
        <v>1</v>
      </c>
      <c r="L9" s="38">
        <v>17.99</v>
      </c>
      <c r="M9" s="216">
        <f aca="true" t="shared" si="5" ref="M9:M23">IF(AND($E9="KO",L9&lt;&gt;""),L9,"")</f>
      </c>
      <c r="N9" s="216">
        <f aca="true" t="shared" si="6" ref="N9:N23">IF(AND($E9="KH",L9&lt;&gt;""),L9,"")</f>
        <v>17.99</v>
      </c>
      <c r="O9" s="217">
        <f aca="true" t="shared" si="7" ref="O9:O14">IF(N(L9),RANK(L9,L$9:L$23,1),COUNT(L$9:L$23)+1)</f>
        <v>3</v>
      </c>
      <c r="P9" s="218">
        <f aca="true" t="shared" si="8" ref="P9:P23">IF(E9="KO",IF(N(M9),RANK(M9,M$9:M$23,1),COUNT(M$9:M$23)+1),"")</f>
      </c>
      <c r="Q9" s="218">
        <f aca="true" t="shared" si="9" ref="Q9:Q14">IF(E9="KH",IF(N(N9),RANK(N9,N$9:N$23,1),COUNT(N$9:N$23)+1),"")</f>
        <v>3</v>
      </c>
      <c r="R9" s="219">
        <v>0</v>
      </c>
      <c r="S9" s="216">
        <f aca="true" t="shared" si="10" ref="S9:S23">IF($E9="KO",R9,"")</f>
      </c>
      <c r="T9" s="218">
        <f aca="true" t="shared" si="11" ref="T9:T23">IF($E9="KH",R9,"")</f>
        <v>0</v>
      </c>
      <c r="U9" s="217">
        <f aca="true" t="shared" si="12" ref="U9:U23">RANK(R9,R$9:R$23,1)</f>
        <v>1</v>
      </c>
      <c r="V9" s="218">
        <f aca="true" t="shared" si="13" ref="V9:V23">IF(E9="KO",RANK(S9,S$9:S$23,1),"")</f>
      </c>
      <c r="W9" s="218">
        <f aca="true" t="shared" si="14" ref="W9:W23">IF(E9="KH",RANK(T9,T$9:T$23,1),"")</f>
        <v>1</v>
      </c>
      <c r="X9" s="220"/>
      <c r="Y9" s="221">
        <f aca="true" t="shared" si="15" ref="Y9:Y23">SUM(I9,O9,U9)</f>
        <v>5</v>
      </c>
      <c r="Z9" s="222">
        <f aca="true" t="shared" si="16" ref="Z9:Z23">IF(E9="KO",SUM(J9,P9,V9),"")</f>
      </c>
      <c r="AA9" s="222">
        <f aca="true" t="shared" si="17" ref="AA9:AA23">IF(E9="KH",SUM(K9,Q9,W9),"")</f>
        <v>5</v>
      </c>
      <c r="AB9" s="220"/>
      <c r="AC9" s="223">
        <f>RANK(Y9,Y$9:Y$23,1)</f>
        <v>2</v>
      </c>
      <c r="AD9" s="220"/>
      <c r="AE9" s="224">
        <f aca="true" t="shared" si="18" ref="AE9:AE23">IF(E9="KO",RANK(Z9,Z$9:Z$23,1),"")</f>
      </c>
      <c r="AF9" s="225"/>
      <c r="AG9" s="224">
        <f>IF(E9="KH",RANK(AA9,AA$9:AA$23,1),"")</f>
        <v>2</v>
      </c>
    </row>
    <row r="10" spans="1:33" ht="15" customHeight="1">
      <c r="A10" s="33"/>
      <c r="B10" s="226">
        <v>3</v>
      </c>
      <c r="C10" s="227" t="s">
        <v>117</v>
      </c>
      <c r="D10" s="227" t="s">
        <v>26</v>
      </c>
      <c r="E10" s="228" t="s">
        <v>21</v>
      </c>
      <c r="F10" s="55">
        <v>28.66</v>
      </c>
      <c r="G10" s="229">
        <f t="shared" si="0"/>
      </c>
      <c r="H10" s="229">
        <f t="shared" si="1"/>
        <v>28.66</v>
      </c>
      <c r="I10" s="230">
        <f t="shared" si="2"/>
        <v>10</v>
      </c>
      <c r="J10" s="231">
        <f t="shared" si="3"/>
      </c>
      <c r="K10" s="232">
        <f t="shared" si="4"/>
        <v>9</v>
      </c>
      <c r="L10" s="55">
        <v>18.96</v>
      </c>
      <c r="M10" s="229">
        <f t="shared" si="5"/>
      </c>
      <c r="N10" s="229">
        <f t="shared" si="6"/>
        <v>18.96</v>
      </c>
      <c r="O10" s="230">
        <f t="shared" si="7"/>
        <v>7</v>
      </c>
      <c r="P10" s="231">
        <f t="shared" si="8"/>
      </c>
      <c r="Q10" s="232">
        <f t="shared" si="9"/>
        <v>7</v>
      </c>
      <c r="R10" s="53">
        <v>1</v>
      </c>
      <c r="S10" s="231">
        <f t="shared" si="10"/>
      </c>
      <c r="T10" s="231">
        <f t="shared" si="11"/>
        <v>1</v>
      </c>
      <c r="U10" s="230">
        <f t="shared" si="12"/>
        <v>11</v>
      </c>
      <c r="V10" s="231">
        <f t="shared" si="13"/>
      </c>
      <c r="W10" s="232">
        <f t="shared" si="14"/>
        <v>8</v>
      </c>
      <c r="X10" s="233"/>
      <c r="Y10" s="234">
        <f t="shared" si="15"/>
        <v>28</v>
      </c>
      <c r="Z10" s="230">
        <f t="shared" si="16"/>
      </c>
      <c r="AA10" s="235">
        <f t="shared" si="17"/>
        <v>24</v>
      </c>
      <c r="AB10" s="233"/>
      <c r="AC10" s="236">
        <f>RANK(Y10,Y$9:Y$23,1)</f>
        <v>10</v>
      </c>
      <c r="AD10" s="233"/>
      <c r="AE10" s="237">
        <f t="shared" si="18"/>
      </c>
      <c r="AF10" s="238"/>
      <c r="AG10" s="237">
        <f>IF(E10="KH",RANK(AA10,AA$9:AA$23,1),"")</f>
        <v>8</v>
      </c>
    </row>
    <row r="11" spans="1:33" ht="15" customHeight="1">
      <c r="A11" s="33"/>
      <c r="B11" s="239">
        <v>5</v>
      </c>
      <c r="C11" s="240" t="s">
        <v>118</v>
      </c>
      <c r="D11" s="240" t="s">
        <v>119</v>
      </c>
      <c r="E11" s="241" t="s">
        <v>24</v>
      </c>
      <c r="F11" s="46">
        <v>26.76</v>
      </c>
      <c r="G11" s="242">
        <f t="shared" si="0"/>
        <v>26.76</v>
      </c>
      <c r="H11" s="242">
        <f t="shared" si="1"/>
      </c>
      <c r="I11" s="243">
        <f t="shared" si="2"/>
        <v>9</v>
      </c>
      <c r="J11" s="244">
        <f t="shared" si="3"/>
        <v>1</v>
      </c>
      <c r="K11" s="245">
        <f t="shared" si="4"/>
      </c>
      <c r="L11" s="46">
        <v>19.78</v>
      </c>
      <c r="M11" s="242">
        <f t="shared" si="5"/>
        <v>19.78</v>
      </c>
      <c r="N11" s="242">
        <f t="shared" si="6"/>
      </c>
      <c r="O11" s="243">
        <f t="shared" si="7"/>
        <v>10</v>
      </c>
      <c r="P11" s="244">
        <f t="shared" si="8"/>
        <v>1</v>
      </c>
      <c r="Q11" s="245">
        <f t="shared" si="9"/>
      </c>
      <c r="R11" s="64">
        <v>1</v>
      </c>
      <c r="S11" s="244">
        <f t="shared" si="10"/>
        <v>1</v>
      </c>
      <c r="T11" s="244">
        <f t="shared" si="11"/>
      </c>
      <c r="U11" s="243">
        <f t="shared" si="12"/>
        <v>11</v>
      </c>
      <c r="V11" s="244">
        <f t="shared" si="13"/>
        <v>4</v>
      </c>
      <c r="W11" s="245">
        <f t="shared" si="14"/>
      </c>
      <c r="X11" s="246"/>
      <c r="Y11" s="247">
        <f t="shared" si="15"/>
        <v>30</v>
      </c>
      <c r="Z11" s="243">
        <f t="shared" si="16"/>
        <v>6</v>
      </c>
      <c r="AA11" s="248">
        <f t="shared" si="17"/>
      </c>
      <c r="AB11" s="246"/>
      <c r="AC11" s="249">
        <v>13</v>
      </c>
      <c r="AD11" s="246"/>
      <c r="AE11" s="250">
        <f t="shared" si="18"/>
        <v>2</v>
      </c>
      <c r="AF11" s="251"/>
      <c r="AG11" s="250">
        <f>IF(E11="KH",RANK(AA11,AA$9:AA$23,1),"")</f>
      </c>
    </row>
    <row r="12" spans="1:33" ht="15" customHeight="1">
      <c r="A12" s="33"/>
      <c r="B12" s="226">
        <v>8</v>
      </c>
      <c r="C12" s="227" t="s">
        <v>53</v>
      </c>
      <c r="D12" s="227" t="s">
        <v>26</v>
      </c>
      <c r="E12" s="228" t="s">
        <v>21</v>
      </c>
      <c r="F12" s="55">
        <v>23.3</v>
      </c>
      <c r="G12" s="229">
        <f t="shared" si="0"/>
      </c>
      <c r="H12" s="229">
        <f t="shared" si="1"/>
        <v>23.3</v>
      </c>
      <c r="I12" s="230">
        <f t="shared" si="2"/>
        <v>7</v>
      </c>
      <c r="J12" s="231">
        <f t="shared" si="3"/>
      </c>
      <c r="K12" s="232">
        <f t="shared" si="4"/>
        <v>7</v>
      </c>
      <c r="L12" s="55">
        <v>19.54</v>
      </c>
      <c r="M12" s="229">
        <f t="shared" si="5"/>
      </c>
      <c r="N12" s="229">
        <f t="shared" si="6"/>
        <v>19.54</v>
      </c>
      <c r="O12" s="230">
        <f t="shared" si="7"/>
        <v>9</v>
      </c>
      <c r="P12" s="231">
        <f t="shared" si="8"/>
      </c>
      <c r="Q12" s="232">
        <f t="shared" si="9"/>
        <v>9</v>
      </c>
      <c r="R12" s="53">
        <v>0</v>
      </c>
      <c r="S12" s="231">
        <f t="shared" si="10"/>
      </c>
      <c r="T12" s="231">
        <f t="shared" si="11"/>
        <v>0</v>
      </c>
      <c r="U12" s="230">
        <f t="shared" si="12"/>
        <v>1</v>
      </c>
      <c r="V12" s="231">
        <f t="shared" si="13"/>
      </c>
      <c r="W12" s="232">
        <f t="shared" si="14"/>
        <v>1</v>
      </c>
      <c r="X12" s="233"/>
      <c r="Y12" s="234">
        <f t="shared" si="15"/>
        <v>17</v>
      </c>
      <c r="Z12" s="230">
        <f t="shared" si="16"/>
      </c>
      <c r="AA12" s="235">
        <f t="shared" si="17"/>
        <v>17</v>
      </c>
      <c r="AB12" s="233"/>
      <c r="AC12" s="236">
        <f>RANK(Y12,Y$9:Y$23,1)</f>
        <v>7</v>
      </c>
      <c r="AD12" s="233"/>
      <c r="AE12" s="237">
        <f t="shared" si="18"/>
      </c>
      <c r="AF12" s="238"/>
      <c r="AG12" s="237">
        <f>IF(E12="KH",RANK(AA12,AA$9:AA$23,1),"")</f>
        <v>7</v>
      </c>
    </row>
    <row r="13" spans="1:33" ht="15" customHeight="1">
      <c r="A13" s="33"/>
      <c r="B13" s="239">
        <v>10</v>
      </c>
      <c r="C13" s="252" t="s">
        <v>120</v>
      </c>
      <c r="D13" s="252" t="s">
        <v>56</v>
      </c>
      <c r="E13" s="241" t="s">
        <v>21</v>
      </c>
      <c r="F13" s="46">
        <v>22.33</v>
      </c>
      <c r="G13" s="242">
        <f t="shared" si="0"/>
      </c>
      <c r="H13" s="242">
        <f t="shared" si="1"/>
        <v>22.33</v>
      </c>
      <c r="I13" s="243">
        <f t="shared" si="2"/>
        <v>6</v>
      </c>
      <c r="J13" s="244">
        <f t="shared" si="3"/>
      </c>
      <c r="K13" s="245">
        <f t="shared" si="4"/>
        <v>6</v>
      </c>
      <c r="L13" s="46">
        <v>18.72</v>
      </c>
      <c r="M13" s="242">
        <f t="shared" si="5"/>
      </c>
      <c r="N13" s="242">
        <f t="shared" si="6"/>
        <v>18.72</v>
      </c>
      <c r="O13" s="243">
        <f t="shared" si="7"/>
        <v>5</v>
      </c>
      <c r="P13" s="244">
        <f t="shared" si="8"/>
      </c>
      <c r="Q13" s="245">
        <f t="shared" si="9"/>
        <v>5</v>
      </c>
      <c r="R13" s="64">
        <v>0</v>
      </c>
      <c r="S13" s="244">
        <f t="shared" si="10"/>
      </c>
      <c r="T13" s="244">
        <f t="shared" si="11"/>
        <v>0</v>
      </c>
      <c r="U13" s="243">
        <f t="shared" si="12"/>
        <v>1</v>
      </c>
      <c r="V13" s="244">
        <f t="shared" si="13"/>
      </c>
      <c r="W13" s="245">
        <f t="shared" si="14"/>
        <v>1</v>
      </c>
      <c r="X13" s="246"/>
      <c r="Y13" s="247">
        <f t="shared" si="15"/>
        <v>12</v>
      </c>
      <c r="Z13" s="243">
        <f t="shared" si="16"/>
      </c>
      <c r="AA13" s="248">
        <f t="shared" si="17"/>
        <v>12</v>
      </c>
      <c r="AB13" s="246"/>
      <c r="AC13" s="249">
        <v>6</v>
      </c>
      <c r="AD13" s="246"/>
      <c r="AE13" s="250">
        <f t="shared" si="18"/>
      </c>
      <c r="AF13" s="251"/>
      <c r="AG13" s="250">
        <v>6</v>
      </c>
    </row>
    <row r="14" spans="1:33" ht="15" customHeight="1">
      <c r="A14" s="33"/>
      <c r="B14" s="226">
        <v>15</v>
      </c>
      <c r="C14" s="253" t="s">
        <v>61</v>
      </c>
      <c r="D14" s="253" t="s">
        <v>50</v>
      </c>
      <c r="E14" s="254" t="s">
        <v>24</v>
      </c>
      <c r="F14" s="55">
        <v>29.04</v>
      </c>
      <c r="G14" s="229">
        <f t="shared" si="0"/>
        <v>29.04</v>
      </c>
      <c r="H14" s="229">
        <f t="shared" si="1"/>
      </c>
      <c r="I14" s="230">
        <f t="shared" si="2"/>
        <v>11</v>
      </c>
      <c r="J14" s="231">
        <f t="shared" si="3"/>
        <v>2</v>
      </c>
      <c r="K14" s="232">
        <f t="shared" si="4"/>
      </c>
      <c r="L14" s="55">
        <v>20.9</v>
      </c>
      <c r="M14" s="229">
        <f t="shared" si="5"/>
        <v>20.9</v>
      </c>
      <c r="N14" s="229">
        <f t="shared" si="6"/>
      </c>
      <c r="O14" s="230">
        <f t="shared" si="7"/>
        <v>11</v>
      </c>
      <c r="P14" s="231">
        <f t="shared" si="8"/>
        <v>2</v>
      </c>
      <c r="Q14" s="232">
        <f t="shared" si="9"/>
      </c>
      <c r="R14" s="53">
        <v>0</v>
      </c>
      <c r="S14" s="231">
        <f t="shared" si="10"/>
        <v>0</v>
      </c>
      <c r="T14" s="231">
        <f t="shared" si="11"/>
      </c>
      <c r="U14" s="230">
        <f t="shared" si="12"/>
        <v>1</v>
      </c>
      <c r="V14" s="231">
        <f t="shared" si="13"/>
        <v>1</v>
      </c>
      <c r="W14" s="232">
        <f t="shared" si="14"/>
      </c>
      <c r="X14" s="233"/>
      <c r="Y14" s="234">
        <f t="shared" si="15"/>
        <v>23</v>
      </c>
      <c r="Z14" s="230">
        <f t="shared" si="16"/>
        <v>5</v>
      </c>
      <c r="AA14" s="235">
        <f t="shared" si="17"/>
      </c>
      <c r="AB14" s="233"/>
      <c r="AC14" s="236">
        <f aca="true" t="shared" si="19" ref="AC14:AC23">RANK(Y14,Y$9:Y$23,1)</f>
        <v>8</v>
      </c>
      <c r="AD14" s="233"/>
      <c r="AE14" s="237">
        <f t="shared" si="18"/>
        <v>1</v>
      </c>
      <c r="AF14" s="238"/>
      <c r="AG14" s="237">
        <f aca="true" t="shared" si="20" ref="AG14:AG23">IF(E14="KH",RANK(AA14,AA$9:AA$23,1),"")</f>
      </c>
    </row>
    <row r="15" spans="1:33" ht="15" customHeight="1">
      <c r="A15" s="33"/>
      <c r="B15" s="239">
        <v>18</v>
      </c>
      <c r="C15" s="252" t="s">
        <v>64</v>
      </c>
      <c r="D15" s="252" t="s">
        <v>26</v>
      </c>
      <c r="E15" s="255" t="s">
        <v>21</v>
      </c>
      <c r="F15" s="46">
        <v>21.81</v>
      </c>
      <c r="G15" s="242">
        <f t="shared" si="0"/>
      </c>
      <c r="H15" s="242">
        <f t="shared" si="1"/>
        <v>21.81</v>
      </c>
      <c r="I15" s="243">
        <f t="shared" si="2"/>
        <v>5</v>
      </c>
      <c r="J15" s="244">
        <f t="shared" si="3"/>
      </c>
      <c r="K15" s="245">
        <f t="shared" si="4"/>
        <v>5</v>
      </c>
      <c r="L15" s="46">
        <v>18.72</v>
      </c>
      <c r="M15" s="242">
        <f t="shared" si="5"/>
      </c>
      <c r="N15" s="242">
        <f t="shared" si="6"/>
        <v>18.72</v>
      </c>
      <c r="O15" s="243">
        <v>6</v>
      </c>
      <c r="P15" s="244">
        <f t="shared" si="8"/>
      </c>
      <c r="Q15" s="245">
        <v>6</v>
      </c>
      <c r="R15" s="64">
        <v>0</v>
      </c>
      <c r="S15" s="244">
        <f t="shared" si="10"/>
      </c>
      <c r="T15" s="244">
        <f t="shared" si="11"/>
        <v>0</v>
      </c>
      <c r="U15" s="243">
        <f t="shared" si="12"/>
        <v>1</v>
      </c>
      <c r="V15" s="244">
        <f t="shared" si="13"/>
      </c>
      <c r="W15" s="245">
        <f t="shared" si="14"/>
        <v>1</v>
      </c>
      <c r="X15" s="246"/>
      <c r="Y15" s="247">
        <f t="shared" si="15"/>
        <v>12</v>
      </c>
      <c r="Z15" s="243">
        <f t="shared" si="16"/>
      </c>
      <c r="AA15" s="248">
        <f t="shared" si="17"/>
        <v>12</v>
      </c>
      <c r="AB15" s="246"/>
      <c r="AC15" s="249">
        <f t="shared" si="19"/>
        <v>5</v>
      </c>
      <c r="AD15" s="246"/>
      <c r="AE15" s="250">
        <f t="shared" si="18"/>
      </c>
      <c r="AF15" s="251"/>
      <c r="AG15" s="250">
        <f t="shared" si="20"/>
        <v>5</v>
      </c>
    </row>
    <row r="16" spans="1:33" ht="15" customHeight="1">
      <c r="A16" s="33"/>
      <c r="B16" s="226">
        <v>19</v>
      </c>
      <c r="C16" s="253" t="s">
        <v>65</v>
      </c>
      <c r="D16" s="253" t="s">
        <v>27</v>
      </c>
      <c r="E16" s="254" t="s">
        <v>21</v>
      </c>
      <c r="F16" s="55">
        <v>34.33</v>
      </c>
      <c r="G16" s="229">
        <f t="shared" si="0"/>
      </c>
      <c r="H16" s="229">
        <f t="shared" si="1"/>
        <v>34.33</v>
      </c>
      <c r="I16" s="230">
        <f t="shared" si="2"/>
        <v>13</v>
      </c>
      <c r="J16" s="231">
        <f t="shared" si="3"/>
      </c>
      <c r="K16" s="232">
        <f t="shared" si="4"/>
        <v>10</v>
      </c>
      <c r="L16" s="55">
        <v>21.34</v>
      </c>
      <c r="M16" s="229">
        <f t="shared" si="5"/>
      </c>
      <c r="N16" s="229">
        <f t="shared" si="6"/>
        <v>21.34</v>
      </c>
      <c r="O16" s="230">
        <f aca="true" t="shared" si="21" ref="O16:O22">IF(N(L16),RANK(L16,L$9:L$23,1),COUNT(L$9:L$23)+1)</f>
        <v>12</v>
      </c>
      <c r="P16" s="231">
        <f t="shared" si="8"/>
      </c>
      <c r="Q16" s="232">
        <f aca="true" t="shared" si="22" ref="Q16:Q22">IF(E16="KH",IF(N(N16),RANK(N16,N$9:N$23,1),COUNT(N$9:N$23)+1),"")</f>
        <v>10</v>
      </c>
      <c r="R16" s="53">
        <v>2</v>
      </c>
      <c r="S16" s="231">
        <f t="shared" si="10"/>
      </c>
      <c r="T16" s="231">
        <f t="shared" si="11"/>
        <v>2</v>
      </c>
      <c r="U16" s="230">
        <f t="shared" si="12"/>
        <v>13</v>
      </c>
      <c r="V16" s="231">
        <f t="shared" si="13"/>
      </c>
      <c r="W16" s="232">
        <f t="shared" si="14"/>
        <v>9</v>
      </c>
      <c r="X16" s="233"/>
      <c r="Y16" s="234">
        <f t="shared" si="15"/>
        <v>38</v>
      </c>
      <c r="Z16" s="230">
        <f t="shared" si="16"/>
      </c>
      <c r="AA16" s="235">
        <f t="shared" si="17"/>
        <v>29</v>
      </c>
      <c r="AB16" s="233"/>
      <c r="AC16" s="236">
        <f t="shared" si="19"/>
        <v>14</v>
      </c>
      <c r="AD16" s="233"/>
      <c r="AE16" s="237">
        <f t="shared" si="18"/>
      </c>
      <c r="AF16" s="238"/>
      <c r="AG16" s="237">
        <f t="shared" si="20"/>
        <v>10</v>
      </c>
    </row>
    <row r="17" spans="1:33" ht="15" customHeight="1">
      <c r="A17" s="33"/>
      <c r="B17" s="239">
        <v>20</v>
      </c>
      <c r="C17" s="252"/>
      <c r="D17" s="252"/>
      <c r="E17" s="255"/>
      <c r="F17" s="46"/>
      <c r="G17" s="242">
        <f t="shared" si="0"/>
      </c>
      <c r="H17" s="242">
        <f t="shared" si="1"/>
      </c>
      <c r="I17" s="243">
        <f t="shared" si="2"/>
        <v>15</v>
      </c>
      <c r="J17" s="244">
        <f t="shared" si="3"/>
      </c>
      <c r="K17" s="245">
        <f t="shared" si="4"/>
      </c>
      <c r="L17" s="46" t="s">
        <v>25</v>
      </c>
      <c r="M17" s="242">
        <f t="shared" si="5"/>
      </c>
      <c r="N17" s="242">
        <f t="shared" si="6"/>
      </c>
      <c r="O17" s="243">
        <f t="shared" si="21"/>
        <v>15</v>
      </c>
      <c r="P17" s="244">
        <f t="shared" si="8"/>
      </c>
      <c r="Q17" s="245">
        <f t="shared" si="22"/>
      </c>
      <c r="R17" s="64">
        <v>15</v>
      </c>
      <c r="S17" s="244">
        <f t="shared" si="10"/>
      </c>
      <c r="T17" s="244">
        <f t="shared" si="11"/>
      </c>
      <c r="U17" s="243">
        <f t="shared" si="12"/>
        <v>15</v>
      </c>
      <c r="V17" s="244">
        <f t="shared" si="13"/>
      </c>
      <c r="W17" s="245">
        <f t="shared" si="14"/>
      </c>
      <c r="X17" s="246"/>
      <c r="Y17" s="247">
        <f t="shared" si="15"/>
        <v>45</v>
      </c>
      <c r="Z17" s="243">
        <f t="shared" si="16"/>
      </c>
      <c r="AA17" s="248">
        <f t="shared" si="17"/>
      </c>
      <c r="AB17" s="246"/>
      <c r="AC17" s="249">
        <f t="shared" si="19"/>
        <v>15</v>
      </c>
      <c r="AD17" s="246"/>
      <c r="AE17" s="250">
        <f t="shared" si="18"/>
      </c>
      <c r="AF17" s="251"/>
      <c r="AG17" s="250">
        <f t="shared" si="20"/>
      </c>
    </row>
    <row r="18" spans="1:33" ht="15" customHeight="1">
      <c r="A18" s="33"/>
      <c r="B18" s="226">
        <v>24</v>
      </c>
      <c r="C18" s="253" t="s">
        <v>69</v>
      </c>
      <c r="D18" s="253" t="s">
        <v>27</v>
      </c>
      <c r="E18" s="254" t="s">
        <v>21</v>
      </c>
      <c r="F18" s="55">
        <v>25.06</v>
      </c>
      <c r="G18" s="229">
        <f t="shared" si="0"/>
      </c>
      <c r="H18" s="229">
        <f t="shared" si="1"/>
        <v>25.06</v>
      </c>
      <c r="I18" s="230">
        <f t="shared" si="2"/>
        <v>8</v>
      </c>
      <c r="J18" s="231">
        <f t="shared" si="3"/>
      </c>
      <c r="K18" s="232">
        <f t="shared" si="4"/>
        <v>8</v>
      </c>
      <c r="L18" s="55">
        <v>19.17</v>
      </c>
      <c r="M18" s="229">
        <f t="shared" si="5"/>
      </c>
      <c r="N18" s="229">
        <f t="shared" si="6"/>
        <v>19.17</v>
      </c>
      <c r="O18" s="230">
        <f t="shared" si="21"/>
        <v>8</v>
      </c>
      <c r="P18" s="231">
        <f t="shared" si="8"/>
      </c>
      <c r="Q18" s="232">
        <f t="shared" si="22"/>
        <v>8</v>
      </c>
      <c r="R18" s="53">
        <v>3</v>
      </c>
      <c r="S18" s="231">
        <f t="shared" si="10"/>
      </c>
      <c r="T18" s="231">
        <f t="shared" si="11"/>
        <v>3</v>
      </c>
      <c r="U18" s="230">
        <f t="shared" si="12"/>
        <v>14</v>
      </c>
      <c r="V18" s="231">
        <f t="shared" si="13"/>
      </c>
      <c r="W18" s="232">
        <f t="shared" si="14"/>
        <v>10</v>
      </c>
      <c r="X18" s="233"/>
      <c r="Y18" s="234">
        <f t="shared" si="15"/>
        <v>30</v>
      </c>
      <c r="Z18" s="230">
        <f t="shared" si="16"/>
      </c>
      <c r="AA18" s="235">
        <f t="shared" si="17"/>
        <v>26</v>
      </c>
      <c r="AB18" s="233"/>
      <c r="AC18" s="236">
        <f t="shared" si="19"/>
        <v>12</v>
      </c>
      <c r="AD18" s="233"/>
      <c r="AE18" s="237">
        <f t="shared" si="18"/>
      </c>
      <c r="AF18" s="238"/>
      <c r="AG18" s="237">
        <f t="shared" si="20"/>
        <v>9</v>
      </c>
    </row>
    <row r="19" spans="1:33" ht="15" customHeight="1">
      <c r="A19" s="33"/>
      <c r="B19" s="239">
        <v>25</v>
      </c>
      <c r="C19" s="252" t="s">
        <v>70</v>
      </c>
      <c r="D19" s="252" t="s">
        <v>50</v>
      </c>
      <c r="E19" s="255" t="s">
        <v>24</v>
      </c>
      <c r="F19" s="256">
        <v>34.64</v>
      </c>
      <c r="G19" s="242">
        <f t="shared" si="0"/>
        <v>34.64</v>
      </c>
      <c r="H19" s="242">
        <f t="shared" si="1"/>
      </c>
      <c r="I19" s="243">
        <f t="shared" si="2"/>
        <v>14</v>
      </c>
      <c r="J19" s="244">
        <f t="shared" si="3"/>
        <v>4</v>
      </c>
      <c r="K19" s="245">
        <f t="shared" si="4"/>
      </c>
      <c r="L19" s="46">
        <v>21.92</v>
      </c>
      <c r="M19" s="242">
        <f t="shared" si="5"/>
        <v>21.92</v>
      </c>
      <c r="N19" s="242">
        <f t="shared" si="6"/>
      </c>
      <c r="O19" s="243">
        <f t="shared" si="21"/>
        <v>14</v>
      </c>
      <c r="P19" s="244">
        <f t="shared" si="8"/>
        <v>4</v>
      </c>
      <c r="Q19" s="245">
        <f t="shared" si="22"/>
      </c>
      <c r="R19" s="64">
        <v>0</v>
      </c>
      <c r="S19" s="244">
        <f t="shared" si="10"/>
        <v>0</v>
      </c>
      <c r="T19" s="244">
        <f t="shared" si="11"/>
      </c>
      <c r="U19" s="243">
        <f t="shared" si="12"/>
        <v>1</v>
      </c>
      <c r="V19" s="244">
        <f t="shared" si="13"/>
        <v>1</v>
      </c>
      <c r="W19" s="245">
        <f t="shared" si="14"/>
      </c>
      <c r="X19" s="246"/>
      <c r="Y19" s="247">
        <f t="shared" si="15"/>
        <v>29</v>
      </c>
      <c r="Z19" s="243">
        <f t="shared" si="16"/>
        <v>9</v>
      </c>
      <c r="AA19" s="248">
        <f t="shared" si="17"/>
      </c>
      <c r="AB19" s="246"/>
      <c r="AC19" s="249">
        <f t="shared" si="19"/>
        <v>11</v>
      </c>
      <c r="AD19" s="246"/>
      <c r="AE19" s="250">
        <f t="shared" si="18"/>
        <v>4</v>
      </c>
      <c r="AF19" s="251"/>
      <c r="AG19" s="250">
        <f t="shared" si="20"/>
      </c>
    </row>
    <row r="20" spans="1:33" ht="15" customHeight="1">
      <c r="A20" s="33"/>
      <c r="B20" s="226">
        <v>26</v>
      </c>
      <c r="C20" s="227" t="s">
        <v>71</v>
      </c>
      <c r="D20" s="227" t="s">
        <v>20</v>
      </c>
      <c r="E20" s="228" t="s">
        <v>21</v>
      </c>
      <c r="F20" s="55">
        <v>20.99</v>
      </c>
      <c r="G20" s="229">
        <f t="shared" si="0"/>
      </c>
      <c r="H20" s="229">
        <f t="shared" si="1"/>
        <v>20.99</v>
      </c>
      <c r="I20" s="230">
        <f t="shared" si="2"/>
        <v>3</v>
      </c>
      <c r="J20" s="231">
        <f t="shared" si="3"/>
      </c>
      <c r="K20" s="232">
        <f t="shared" si="4"/>
        <v>3</v>
      </c>
      <c r="L20" s="55">
        <v>18.17</v>
      </c>
      <c r="M20" s="229">
        <f t="shared" si="5"/>
      </c>
      <c r="N20" s="229">
        <f t="shared" si="6"/>
        <v>18.17</v>
      </c>
      <c r="O20" s="230">
        <f t="shared" si="21"/>
        <v>4</v>
      </c>
      <c r="P20" s="231">
        <f t="shared" si="8"/>
      </c>
      <c r="Q20" s="232">
        <f t="shared" si="22"/>
        <v>4</v>
      </c>
      <c r="R20" s="53">
        <v>0</v>
      </c>
      <c r="S20" s="231">
        <f t="shared" si="10"/>
      </c>
      <c r="T20" s="231">
        <f t="shared" si="11"/>
        <v>0</v>
      </c>
      <c r="U20" s="230">
        <f t="shared" si="12"/>
        <v>1</v>
      </c>
      <c r="V20" s="231">
        <f t="shared" si="13"/>
      </c>
      <c r="W20" s="232">
        <f t="shared" si="14"/>
        <v>1</v>
      </c>
      <c r="X20" s="233"/>
      <c r="Y20" s="234">
        <f t="shared" si="15"/>
        <v>8</v>
      </c>
      <c r="Z20" s="230">
        <f t="shared" si="16"/>
      </c>
      <c r="AA20" s="235">
        <f t="shared" si="17"/>
        <v>8</v>
      </c>
      <c r="AB20" s="233"/>
      <c r="AC20" s="236">
        <f t="shared" si="19"/>
        <v>4</v>
      </c>
      <c r="AD20" s="233"/>
      <c r="AE20" s="237">
        <f t="shared" si="18"/>
      </c>
      <c r="AF20" s="238"/>
      <c r="AG20" s="237">
        <f t="shared" si="20"/>
        <v>4</v>
      </c>
    </row>
    <row r="21" spans="1:33" s="273" customFormat="1" ht="15" customHeight="1">
      <c r="A21" s="257"/>
      <c r="B21" s="258">
        <v>30</v>
      </c>
      <c r="C21" s="259" t="s">
        <v>75</v>
      </c>
      <c r="D21" s="259" t="s">
        <v>50</v>
      </c>
      <c r="E21" s="260" t="s">
        <v>24</v>
      </c>
      <c r="F21" s="261">
        <v>31.83</v>
      </c>
      <c r="G21" s="262">
        <f t="shared" si="0"/>
        <v>31.83</v>
      </c>
      <c r="H21" s="262">
        <f t="shared" si="1"/>
      </c>
      <c r="I21" s="263">
        <f t="shared" si="2"/>
        <v>12</v>
      </c>
      <c r="J21" s="264">
        <f t="shared" si="3"/>
        <v>3</v>
      </c>
      <c r="K21" s="265">
        <f t="shared" si="4"/>
      </c>
      <c r="L21" s="261">
        <v>21.69</v>
      </c>
      <c r="M21" s="262">
        <f t="shared" si="5"/>
        <v>21.69</v>
      </c>
      <c r="N21" s="262">
        <f t="shared" si="6"/>
      </c>
      <c r="O21" s="263">
        <f t="shared" si="21"/>
        <v>13</v>
      </c>
      <c r="P21" s="264">
        <f t="shared" si="8"/>
        <v>3</v>
      </c>
      <c r="Q21" s="265">
        <f t="shared" si="22"/>
      </c>
      <c r="R21" s="266">
        <v>0</v>
      </c>
      <c r="S21" s="264">
        <f t="shared" si="10"/>
        <v>0</v>
      </c>
      <c r="T21" s="264">
        <f t="shared" si="11"/>
      </c>
      <c r="U21" s="263">
        <f t="shared" si="12"/>
        <v>1</v>
      </c>
      <c r="V21" s="264">
        <f t="shared" si="13"/>
        <v>1</v>
      </c>
      <c r="W21" s="265">
        <f t="shared" si="14"/>
      </c>
      <c r="X21" s="267"/>
      <c r="Y21" s="268">
        <f t="shared" si="15"/>
        <v>26</v>
      </c>
      <c r="Z21" s="263">
        <f t="shared" si="16"/>
        <v>7</v>
      </c>
      <c r="AA21" s="269">
        <f t="shared" si="17"/>
      </c>
      <c r="AB21" s="267"/>
      <c r="AC21" s="270">
        <f t="shared" si="19"/>
        <v>9</v>
      </c>
      <c r="AD21" s="267"/>
      <c r="AE21" s="271">
        <f t="shared" si="18"/>
        <v>3</v>
      </c>
      <c r="AF21" s="272"/>
      <c r="AG21" s="271">
        <f t="shared" si="20"/>
      </c>
    </row>
    <row r="22" spans="1:33" ht="15" customHeight="1">
      <c r="A22" s="11"/>
      <c r="B22" s="226">
        <v>31</v>
      </c>
      <c r="C22" s="227" t="s">
        <v>76</v>
      </c>
      <c r="D22" s="227" t="s">
        <v>20</v>
      </c>
      <c r="E22" s="228" t="s">
        <v>21</v>
      </c>
      <c r="F22" s="274">
        <v>20.67</v>
      </c>
      <c r="G22" s="275">
        <f t="shared" si="0"/>
      </c>
      <c r="H22" s="275">
        <f t="shared" si="1"/>
        <v>20.67</v>
      </c>
      <c r="I22" s="276">
        <f t="shared" si="2"/>
        <v>2</v>
      </c>
      <c r="J22" s="277">
        <f t="shared" si="3"/>
      </c>
      <c r="K22" s="278">
        <f t="shared" si="4"/>
        <v>2</v>
      </c>
      <c r="L22" s="274">
        <v>17.65</v>
      </c>
      <c r="M22" s="275">
        <f t="shared" si="5"/>
      </c>
      <c r="N22" s="275">
        <f t="shared" si="6"/>
        <v>17.65</v>
      </c>
      <c r="O22" s="276">
        <f t="shared" si="21"/>
        <v>1</v>
      </c>
      <c r="P22" s="277">
        <f t="shared" si="8"/>
      </c>
      <c r="Q22" s="278">
        <f t="shared" si="22"/>
        <v>1</v>
      </c>
      <c r="R22" s="279">
        <v>0</v>
      </c>
      <c r="S22" s="277">
        <f t="shared" si="10"/>
      </c>
      <c r="T22" s="277">
        <f t="shared" si="11"/>
        <v>0</v>
      </c>
      <c r="U22" s="276">
        <f t="shared" si="12"/>
        <v>1</v>
      </c>
      <c r="V22" s="277">
        <f t="shared" si="13"/>
      </c>
      <c r="W22" s="278">
        <f t="shared" si="14"/>
        <v>1</v>
      </c>
      <c r="X22" s="280"/>
      <c r="Y22" s="281">
        <f t="shared" si="15"/>
        <v>4</v>
      </c>
      <c r="Z22" s="276">
        <f t="shared" si="16"/>
      </c>
      <c r="AA22" s="282">
        <f t="shared" si="17"/>
        <v>4</v>
      </c>
      <c r="AB22" s="280"/>
      <c r="AC22" s="283">
        <f t="shared" si="19"/>
        <v>1</v>
      </c>
      <c r="AD22" s="280"/>
      <c r="AE22" s="284">
        <f t="shared" si="18"/>
      </c>
      <c r="AF22" s="285"/>
      <c r="AG22" s="284">
        <f t="shared" si="20"/>
        <v>1</v>
      </c>
    </row>
    <row r="23" spans="2:33" ht="15" customHeight="1">
      <c r="B23" s="286">
        <v>33</v>
      </c>
      <c r="C23" s="287" t="s">
        <v>122</v>
      </c>
      <c r="D23" s="287" t="s">
        <v>20</v>
      </c>
      <c r="E23" s="288" t="s">
        <v>21</v>
      </c>
      <c r="F23" s="289">
        <v>21.65</v>
      </c>
      <c r="G23" s="290">
        <f t="shared" si="0"/>
      </c>
      <c r="H23" s="290">
        <f t="shared" si="1"/>
        <v>21.65</v>
      </c>
      <c r="I23" s="291">
        <f t="shared" si="2"/>
        <v>4</v>
      </c>
      <c r="J23" s="292">
        <f t="shared" si="3"/>
      </c>
      <c r="K23" s="293">
        <f t="shared" si="4"/>
        <v>4</v>
      </c>
      <c r="L23" s="289">
        <v>17.65</v>
      </c>
      <c r="M23" s="290">
        <f t="shared" si="5"/>
      </c>
      <c r="N23" s="290">
        <f t="shared" si="6"/>
        <v>17.65</v>
      </c>
      <c r="O23" s="291">
        <v>2</v>
      </c>
      <c r="P23" s="292">
        <f t="shared" si="8"/>
      </c>
      <c r="Q23" s="293">
        <v>2</v>
      </c>
      <c r="R23" s="294">
        <v>0</v>
      </c>
      <c r="S23" s="292">
        <f t="shared" si="10"/>
      </c>
      <c r="T23" s="292">
        <f t="shared" si="11"/>
        <v>0</v>
      </c>
      <c r="U23" s="291">
        <f t="shared" si="12"/>
        <v>1</v>
      </c>
      <c r="V23" s="292">
        <f t="shared" si="13"/>
      </c>
      <c r="W23" s="293">
        <f t="shared" si="14"/>
        <v>1</v>
      </c>
      <c r="X23" s="295"/>
      <c r="Y23" s="296">
        <f t="shared" si="15"/>
        <v>7</v>
      </c>
      <c r="Z23" s="291">
        <f t="shared" si="16"/>
      </c>
      <c r="AA23" s="297">
        <f t="shared" si="17"/>
        <v>7</v>
      </c>
      <c r="AB23" s="295"/>
      <c r="AC23" s="298">
        <f t="shared" si="19"/>
        <v>3</v>
      </c>
      <c r="AD23" s="295"/>
      <c r="AE23" s="299">
        <f t="shared" si="18"/>
      </c>
      <c r="AF23" s="300"/>
      <c r="AG23" s="299">
        <f t="shared" si="20"/>
        <v>3</v>
      </c>
    </row>
  </sheetData>
  <sheetProtection selectLockedCells="1" selectUnlockedCells="1"/>
  <mergeCells count="19">
    <mergeCell ref="B2:AC2"/>
    <mergeCell ref="C4:F4"/>
    <mergeCell ref="K4:Y4"/>
    <mergeCell ref="F6:K6"/>
    <mergeCell ref="L6:P6"/>
    <mergeCell ref="R6:W6"/>
    <mergeCell ref="B7:B8"/>
    <mergeCell ref="C7:C8"/>
    <mergeCell ref="D7:D8"/>
    <mergeCell ref="E7:E8"/>
    <mergeCell ref="F7:K7"/>
    <mergeCell ref="L7:P7"/>
    <mergeCell ref="R7:W7"/>
    <mergeCell ref="Y7:Y8"/>
    <mergeCell ref="Z7:Z8"/>
    <mergeCell ref="AA7:AA8"/>
    <mergeCell ref="AC7:AC8"/>
    <mergeCell ref="AE7:AE8"/>
    <mergeCell ref="AG7:AG8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16"/>
  <sheetViews>
    <sheetView workbookViewId="0" topLeftCell="A1">
      <selection activeCell="O19" sqref="O19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8.57421875" style="0" customWidth="1"/>
    <col min="4" max="4" width="15.7109375" style="0" customWidth="1"/>
    <col min="5" max="5" width="4.57421875" style="0" customWidth="1"/>
    <col min="6" max="6" width="6.7109375" style="0" customWidth="1"/>
    <col min="7" max="8" width="0" style="0" hidden="1" customWidth="1"/>
    <col min="9" max="11" width="5.7109375" style="0" customWidth="1"/>
    <col min="12" max="12" width="6.7109375" style="0" customWidth="1"/>
    <col min="13" max="14" width="0" style="0" hidden="1" customWidth="1"/>
    <col min="15" max="17" width="5.7109375" style="0" customWidth="1"/>
    <col min="18" max="18" width="6.7109375" style="0" customWidth="1"/>
    <col min="19" max="20" width="0" style="0" hidden="1" customWidth="1"/>
    <col min="21" max="23" width="5.7109375" style="0" customWidth="1"/>
    <col min="24" max="24" width="0.42578125" style="0" customWidth="1"/>
    <col min="25" max="25" width="6.00390625" style="0" customWidth="1"/>
    <col min="26" max="27" width="0" style="0" hidden="1" customWidth="1"/>
    <col min="28" max="28" width="0.42578125" style="0" customWidth="1"/>
    <col min="29" max="29" width="6.00390625" style="0" customWidth="1"/>
    <col min="30" max="30" width="0.42578125" style="0" customWidth="1"/>
    <col min="31" max="31" width="6.00390625" style="0" customWidth="1"/>
    <col min="32" max="32" width="0.42578125" style="0" customWidth="1"/>
    <col min="33" max="33" width="6.00390625" style="0" customWidth="1"/>
  </cols>
  <sheetData>
    <row r="2" spans="1:33" ht="24.75">
      <c r="A2" s="193"/>
      <c r="B2" s="194" t="s">
        <v>124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175"/>
      <c r="AF2" s="175"/>
      <c r="AG2" s="175"/>
    </row>
    <row r="3" spans="1:30" ht="1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6"/>
    </row>
    <row r="4" spans="1:30" ht="17.25">
      <c r="A4" s="198"/>
      <c r="B4" s="197"/>
      <c r="C4" s="199" t="s">
        <v>1</v>
      </c>
      <c r="D4" s="199"/>
      <c r="E4" s="199"/>
      <c r="F4" s="199"/>
      <c r="G4" s="200"/>
      <c r="H4" s="200"/>
      <c r="I4" s="200"/>
      <c r="J4" s="200"/>
      <c r="K4" s="201" t="s">
        <v>143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2"/>
      <c r="AA4" s="202"/>
      <c r="AB4" s="203"/>
      <c r="AC4" s="197"/>
      <c r="AD4" s="196"/>
    </row>
    <row r="5" spans="1:30" ht="15">
      <c r="A5" s="198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203"/>
      <c r="Y5" s="197"/>
      <c r="Z5" s="197"/>
      <c r="AA5" s="197"/>
      <c r="AB5" s="203"/>
      <c r="AC5" s="197"/>
      <c r="AD5" s="196"/>
    </row>
    <row r="6" spans="1:30" ht="17.25">
      <c r="A6" s="8"/>
      <c r="B6" s="9"/>
      <c r="C6" s="204" t="s">
        <v>126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3"/>
      <c r="Z6" s="13"/>
      <c r="AA6" s="13"/>
      <c r="AB6" s="14"/>
      <c r="AC6" s="13"/>
      <c r="AD6" s="205"/>
    </row>
    <row r="7" spans="1:33" ht="90" customHeight="1">
      <c r="A7" s="15"/>
      <c r="B7" s="206" t="s">
        <v>4</v>
      </c>
      <c r="C7" s="206" t="s">
        <v>127</v>
      </c>
      <c r="D7" s="206" t="s">
        <v>36</v>
      </c>
      <c r="E7" s="206" t="s">
        <v>6</v>
      </c>
      <c r="F7" s="18" t="s">
        <v>128</v>
      </c>
      <c r="G7" s="18"/>
      <c r="H7" s="18"/>
      <c r="I7" s="18"/>
      <c r="J7" s="18"/>
      <c r="K7" s="18"/>
      <c r="L7" s="19" t="s">
        <v>129</v>
      </c>
      <c r="M7" s="19"/>
      <c r="N7" s="19"/>
      <c r="O7" s="19"/>
      <c r="P7" s="19"/>
      <c r="Q7" s="19"/>
      <c r="R7" s="17" t="s">
        <v>10</v>
      </c>
      <c r="S7" s="17"/>
      <c r="T7" s="17"/>
      <c r="U7" s="17"/>
      <c r="V7" s="17"/>
      <c r="W7" s="17"/>
      <c r="X7" s="20"/>
      <c r="Y7" s="21" t="s">
        <v>12</v>
      </c>
      <c r="Z7" s="21" t="s">
        <v>130</v>
      </c>
      <c r="AA7" s="21" t="s">
        <v>131</v>
      </c>
      <c r="AB7" s="22"/>
      <c r="AC7" s="23" t="s">
        <v>13</v>
      </c>
      <c r="AD7" s="22"/>
      <c r="AE7" s="207" t="s">
        <v>132</v>
      </c>
      <c r="AF7" s="22"/>
      <c r="AG7" s="207" t="s">
        <v>133</v>
      </c>
    </row>
    <row r="8" spans="1:33" ht="13.5">
      <c r="A8" s="24"/>
      <c r="B8" s="206"/>
      <c r="C8" s="206"/>
      <c r="D8" s="206"/>
      <c r="E8" s="206"/>
      <c r="F8" s="26" t="s">
        <v>134</v>
      </c>
      <c r="G8" s="208" t="s">
        <v>135</v>
      </c>
      <c r="H8" s="208" t="s">
        <v>136</v>
      </c>
      <c r="I8" s="209" t="s">
        <v>14</v>
      </c>
      <c r="J8" s="208" t="s">
        <v>137</v>
      </c>
      <c r="K8" s="210" t="s">
        <v>138</v>
      </c>
      <c r="L8" s="28" t="s">
        <v>134</v>
      </c>
      <c r="M8" s="208" t="s">
        <v>135</v>
      </c>
      <c r="N8" s="208" t="s">
        <v>136</v>
      </c>
      <c r="O8" s="209" t="s">
        <v>14</v>
      </c>
      <c r="P8" s="211" t="s">
        <v>139</v>
      </c>
      <c r="Q8" s="210" t="s">
        <v>140</v>
      </c>
      <c r="R8" s="28" t="s">
        <v>16</v>
      </c>
      <c r="S8" s="208" t="s">
        <v>141</v>
      </c>
      <c r="T8" s="208" t="s">
        <v>142</v>
      </c>
      <c r="U8" s="209" t="s">
        <v>14</v>
      </c>
      <c r="V8" s="208" t="s">
        <v>139</v>
      </c>
      <c r="W8" s="210" t="s">
        <v>138</v>
      </c>
      <c r="X8" s="212"/>
      <c r="Y8" s="21"/>
      <c r="Z8" s="21"/>
      <c r="AA8" s="21"/>
      <c r="AB8" s="212"/>
      <c r="AC8" s="23"/>
      <c r="AD8" s="212"/>
      <c r="AE8" s="207"/>
      <c r="AF8" s="212"/>
      <c r="AG8" s="207"/>
    </row>
    <row r="9" spans="1:33" ht="12.75">
      <c r="A9" s="33"/>
      <c r="B9" s="213">
        <v>53</v>
      </c>
      <c r="C9" s="214" t="s">
        <v>86</v>
      </c>
      <c r="D9" s="214" t="s">
        <v>87</v>
      </c>
      <c r="E9" s="215" t="s">
        <v>24</v>
      </c>
      <c r="F9" s="301" t="s">
        <v>25</v>
      </c>
      <c r="G9" s="302" t="str">
        <f aca="true" t="shared" si="0" ref="G9:G16">IF(AND($E9="KO",F9&lt;&gt;""),F9,"")</f>
        <v>NP</v>
      </c>
      <c r="H9" s="216">
        <f aca="true" t="shared" si="1" ref="H9:H16">IF(AND($E9="KH",F9&lt;&gt;""),F9,"")</f>
      </c>
      <c r="I9" s="217">
        <f aca="true" t="shared" si="2" ref="I9:I16">IF(N(F9),RANK(F9,F$9:F$16,1),COUNT(F$9:F$16)+1)</f>
        <v>6</v>
      </c>
      <c r="J9" s="218">
        <f aca="true" t="shared" si="3" ref="J9:J16">IF(E9="KO",IF(N(G9),RANK(G9,G$9:G$16,1),COUNT(G$9:G$16)+1),"")</f>
        <v>2</v>
      </c>
      <c r="K9" s="218">
        <f aca="true" t="shared" si="4" ref="K9:K16">IF(E9="KH",IF(N(H9),RANK(H9,H$9:H$16,1),COUNT(H$9:H$16)+1),"")</f>
      </c>
      <c r="L9" s="38" t="s">
        <v>25</v>
      </c>
      <c r="M9" s="216" t="str">
        <f aca="true" t="shared" si="5" ref="M9:M16">IF(AND($E9="KO",L9&lt;&gt;""),L9,"")</f>
        <v>NP</v>
      </c>
      <c r="N9" s="216">
        <f aca="true" t="shared" si="6" ref="N9:N16">IF(AND($E9="KH",L9&lt;&gt;""),L9,"")</f>
      </c>
      <c r="O9" s="217">
        <f aca="true" t="shared" si="7" ref="O9:O16">IF(N(L9),RANK(L9,L$9:L$16,1),COUNT(L$9:L$16)+1)</f>
        <v>6</v>
      </c>
      <c r="P9" s="218">
        <f aca="true" t="shared" si="8" ref="P9:P16">IF(E9="KO",IF(N(M9),RANK(M9,M$9:M$16,1),COUNT(M$9:M$16)+1),"")</f>
        <v>2</v>
      </c>
      <c r="Q9" s="218">
        <f aca="true" t="shared" si="9" ref="Q9:Q16">IF(E9="KH",IF(N(N9),RANK(N9,N$9:N$16,1),COUNT(N$9:N$16)+1),"")</f>
      </c>
      <c r="R9" s="219">
        <v>1</v>
      </c>
      <c r="S9" s="216">
        <f aca="true" t="shared" si="10" ref="S9:S16">IF($E9="KO",R9,"")</f>
        <v>1</v>
      </c>
      <c r="T9" s="218">
        <f aca="true" t="shared" si="11" ref="T9:T16">IF($E9="KH",R9,"")</f>
      </c>
      <c r="U9" s="217">
        <f aca="true" t="shared" si="12" ref="U9:U16">RANK(R9,R$9:R$16,1)</f>
        <v>6</v>
      </c>
      <c r="V9" s="218">
        <f aca="true" t="shared" si="13" ref="V9:V16">IF(E9="KO",RANK(S9,S$9:S$16,1),"")</f>
        <v>2</v>
      </c>
      <c r="W9" s="218">
        <f aca="true" t="shared" si="14" ref="W9:W16">IF(E9="KH",RANK(T9,T$9:T$16,1),"")</f>
      </c>
      <c r="X9" s="220"/>
      <c r="Y9" s="221">
        <f aca="true" t="shared" si="15" ref="Y9:Y16">SUM(I9,O9,U9)</f>
        <v>18</v>
      </c>
      <c r="Z9" s="222">
        <f aca="true" t="shared" si="16" ref="Z9:Z16">IF(E9="KO",SUM(J9,P9,V9),"")</f>
        <v>6</v>
      </c>
      <c r="AA9" s="222">
        <f aca="true" t="shared" si="17" ref="AA9:AA16">IF(E9="KH",SUM(K9,Q9,W9),"")</f>
      </c>
      <c r="AB9" s="220"/>
      <c r="AC9" s="223">
        <f aca="true" t="shared" si="18" ref="AC9:AC16">RANK(Y9,Y$9:Y$16,1)</f>
        <v>6</v>
      </c>
      <c r="AD9" s="220"/>
      <c r="AE9" s="224">
        <f aca="true" t="shared" si="19" ref="AE9:AE16">IF(E9="KO",RANK(Z9,Z$9:Z$16,1),"")</f>
        <v>2</v>
      </c>
      <c r="AF9" s="225"/>
      <c r="AG9" s="224">
        <f aca="true" t="shared" si="20" ref="AG9:AG16">IF(E9="KH",RANK(AA9,AA$9:AA$16,1),"")</f>
      </c>
    </row>
    <row r="10" spans="1:33" ht="12.75">
      <c r="A10" s="33"/>
      <c r="B10" s="226">
        <v>56</v>
      </c>
      <c r="C10" s="227" t="s">
        <v>90</v>
      </c>
      <c r="D10" s="227" t="s">
        <v>87</v>
      </c>
      <c r="E10" s="254" t="s">
        <v>24</v>
      </c>
      <c r="F10" s="303">
        <v>26.92</v>
      </c>
      <c r="G10" s="304">
        <f t="shared" si="0"/>
        <v>26.92</v>
      </c>
      <c r="H10" s="229">
        <f t="shared" si="1"/>
      </c>
      <c r="I10" s="230">
        <f t="shared" si="2"/>
        <v>5</v>
      </c>
      <c r="J10" s="231">
        <f t="shared" si="3"/>
        <v>1</v>
      </c>
      <c r="K10" s="232">
        <f t="shared" si="4"/>
      </c>
      <c r="L10" s="55">
        <v>24.4</v>
      </c>
      <c r="M10" s="229">
        <f t="shared" si="5"/>
        <v>24.4</v>
      </c>
      <c r="N10" s="229">
        <f t="shared" si="6"/>
      </c>
      <c r="O10" s="230">
        <f t="shared" si="7"/>
        <v>5</v>
      </c>
      <c r="P10" s="231">
        <f t="shared" si="8"/>
        <v>1</v>
      </c>
      <c r="Q10" s="232">
        <f t="shared" si="9"/>
      </c>
      <c r="R10" s="53">
        <v>0</v>
      </c>
      <c r="S10" s="231">
        <f t="shared" si="10"/>
        <v>0</v>
      </c>
      <c r="T10" s="231">
        <f t="shared" si="11"/>
      </c>
      <c r="U10" s="230">
        <f t="shared" si="12"/>
        <v>1</v>
      </c>
      <c r="V10" s="231">
        <f t="shared" si="13"/>
        <v>1</v>
      </c>
      <c r="W10" s="232">
        <f t="shared" si="14"/>
      </c>
      <c r="X10" s="233"/>
      <c r="Y10" s="234">
        <f t="shared" si="15"/>
        <v>11</v>
      </c>
      <c r="Z10" s="230">
        <f t="shared" si="16"/>
        <v>3</v>
      </c>
      <c r="AA10" s="235">
        <f t="shared" si="17"/>
      </c>
      <c r="AB10" s="233"/>
      <c r="AC10" s="236">
        <f t="shared" si="18"/>
        <v>5</v>
      </c>
      <c r="AD10" s="233"/>
      <c r="AE10" s="237">
        <f t="shared" si="19"/>
        <v>1</v>
      </c>
      <c r="AF10" s="238"/>
      <c r="AG10" s="237">
        <f t="shared" si="20"/>
      </c>
    </row>
    <row r="11" spans="1:33" ht="12.75">
      <c r="A11" s="33"/>
      <c r="B11" s="239">
        <v>59</v>
      </c>
      <c r="C11" s="240" t="s">
        <v>93</v>
      </c>
      <c r="D11" s="240" t="s">
        <v>20</v>
      </c>
      <c r="E11" s="255" t="s">
        <v>21</v>
      </c>
      <c r="F11" s="305">
        <v>20.23</v>
      </c>
      <c r="G11" s="306">
        <f t="shared" si="0"/>
      </c>
      <c r="H11" s="242">
        <f t="shared" si="1"/>
        <v>20.23</v>
      </c>
      <c r="I11" s="243">
        <f t="shared" si="2"/>
        <v>1</v>
      </c>
      <c r="J11" s="244">
        <f t="shared" si="3"/>
      </c>
      <c r="K11" s="245">
        <f t="shared" si="4"/>
        <v>1</v>
      </c>
      <c r="L11" s="46">
        <v>20.9</v>
      </c>
      <c r="M11" s="242">
        <f t="shared" si="5"/>
      </c>
      <c r="N11" s="242">
        <f t="shared" si="6"/>
        <v>20.9</v>
      </c>
      <c r="O11" s="243">
        <f t="shared" si="7"/>
        <v>1</v>
      </c>
      <c r="P11" s="244">
        <f t="shared" si="8"/>
      </c>
      <c r="Q11" s="245">
        <f t="shared" si="9"/>
        <v>1</v>
      </c>
      <c r="R11" s="64">
        <v>0</v>
      </c>
      <c r="S11" s="244">
        <f t="shared" si="10"/>
      </c>
      <c r="T11" s="244">
        <f t="shared" si="11"/>
        <v>0</v>
      </c>
      <c r="U11" s="243">
        <f t="shared" si="12"/>
        <v>1</v>
      </c>
      <c r="V11" s="244">
        <f t="shared" si="13"/>
      </c>
      <c r="W11" s="245">
        <f t="shared" si="14"/>
        <v>1</v>
      </c>
      <c r="X11" s="246"/>
      <c r="Y11" s="247">
        <f t="shared" si="15"/>
        <v>3</v>
      </c>
      <c r="Z11" s="243">
        <f t="shared" si="16"/>
      </c>
      <c r="AA11" s="248">
        <f t="shared" si="17"/>
        <v>3</v>
      </c>
      <c r="AB11" s="246"/>
      <c r="AC11" s="249">
        <f t="shared" si="18"/>
        <v>1</v>
      </c>
      <c r="AD11" s="246"/>
      <c r="AE11" s="250">
        <f t="shared" si="19"/>
      </c>
      <c r="AF11" s="251"/>
      <c r="AG11" s="250">
        <f t="shared" si="20"/>
        <v>1</v>
      </c>
    </row>
    <row r="12" spans="1:33" ht="12.75">
      <c r="A12" s="33"/>
      <c r="B12" s="226">
        <v>61</v>
      </c>
      <c r="C12" s="227" t="s">
        <v>95</v>
      </c>
      <c r="D12" s="227" t="s">
        <v>29</v>
      </c>
      <c r="E12" s="254" t="s">
        <v>21</v>
      </c>
      <c r="F12" s="303">
        <v>25.62</v>
      </c>
      <c r="G12" s="304">
        <f t="shared" si="0"/>
      </c>
      <c r="H12" s="229">
        <f t="shared" si="1"/>
        <v>25.62</v>
      </c>
      <c r="I12" s="230">
        <f t="shared" si="2"/>
        <v>3</v>
      </c>
      <c r="J12" s="231">
        <f t="shared" si="3"/>
      </c>
      <c r="K12" s="232">
        <f t="shared" si="4"/>
        <v>3</v>
      </c>
      <c r="L12" s="55">
        <v>23.43</v>
      </c>
      <c r="M12" s="229">
        <f t="shared" si="5"/>
      </c>
      <c r="N12" s="229">
        <f t="shared" si="6"/>
        <v>23.43</v>
      </c>
      <c r="O12" s="230">
        <f t="shared" si="7"/>
        <v>3</v>
      </c>
      <c r="P12" s="231">
        <f t="shared" si="8"/>
      </c>
      <c r="Q12" s="232">
        <f t="shared" si="9"/>
        <v>3</v>
      </c>
      <c r="R12" s="53">
        <v>0</v>
      </c>
      <c r="S12" s="231">
        <f t="shared" si="10"/>
      </c>
      <c r="T12" s="231">
        <f t="shared" si="11"/>
        <v>0</v>
      </c>
      <c r="U12" s="230">
        <f t="shared" si="12"/>
        <v>1</v>
      </c>
      <c r="V12" s="231">
        <f t="shared" si="13"/>
      </c>
      <c r="W12" s="232">
        <f t="shared" si="14"/>
        <v>1</v>
      </c>
      <c r="X12" s="233"/>
      <c r="Y12" s="234">
        <f t="shared" si="15"/>
        <v>7</v>
      </c>
      <c r="Z12" s="230">
        <f t="shared" si="16"/>
      </c>
      <c r="AA12" s="235">
        <f t="shared" si="17"/>
        <v>7</v>
      </c>
      <c r="AB12" s="233"/>
      <c r="AC12" s="236">
        <f t="shared" si="18"/>
        <v>3</v>
      </c>
      <c r="AD12" s="233"/>
      <c r="AE12" s="237">
        <f t="shared" si="19"/>
      </c>
      <c r="AF12" s="238"/>
      <c r="AG12" s="237">
        <f t="shared" si="20"/>
        <v>3</v>
      </c>
    </row>
    <row r="13" spans="1:33" ht="12.75">
      <c r="A13" s="33"/>
      <c r="B13" s="239">
        <v>62</v>
      </c>
      <c r="C13" s="252"/>
      <c r="D13" s="252"/>
      <c r="E13" s="255"/>
      <c r="F13" s="305"/>
      <c r="G13" s="306">
        <f t="shared" si="0"/>
      </c>
      <c r="H13" s="242">
        <f t="shared" si="1"/>
      </c>
      <c r="I13" s="243">
        <f t="shared" si="2"/>
        <v>6</v>
      </c>
      <c r="J13" s="244">
        <f t="shared" si="3"/>
      </c>
      <c r="K13" s="245">
        <f t="shared" si="4"/>
      </c>
      <c r="L13" s="46" t="s">
        <v>25</v>
      </c>
      <c r="M13" s="242">
        <f t="shared" si="5"/>
      </c>
      <c r="N13" s="242">
        <f t="shared" si="6"/>
      </c>
      <c r="O13" s="243">
        <f t="shared" si="7"/>
        <v>6</v>
      </c>
      <c r="P13" s="244">
        <f t="shared" si="8"/>
      </c>
      <c r="Q13" s="245">
        <f t="shared" si="9"/>
      </c>
      <c r="R13" s="64">
        <v>15</v>
      </c>
      <c r="S13" s="244">
        <f t="shared" si="10"/>
      </c>
      <c r="T13" s="244">
        <f t="shared" si="11"/>
      </c>
      <c r="U13" s="243">
        <f t="shared" si="12"/>
        <v>7</v>
      </c>
      <c r="V13" s="244">
        <f t="shared" si="13"/>
      </c>
      <c r="W13" s="245">
        <f t="shared" si="14"/>
      </c>
      <c r="X13" s="246"/>
      <c r="Y13" s="247">
        <f t="shared" si="15"/>
        <v>19</v>
      </c>
      <c r="Z13" s="243">
        <f t="shared" si="16"/>
      </c>
      <c r="AA13" s="248">
        <f t="shared" si="17"/>
      </c>
      <c r="AB13" s="246"/>
      <c r="AC13" s="249">
        <f t="shared" si="18"/>
        <v>7</v>
      </c>
      <c r="AD13" s="246"/>
      <c r="AE13" s="250">
        <f t="shared" si="19"/>
      </c>
      <c r="AF13" s="251"/>
      <c r="AG13" s="250">
        <f t="shared" si="20"/>
      </c>
    </row>
    <row r="14" spans="1:33" ht="12.75">
      <c r="A14" s="33"/>
      <c r="B14" s="226">
        <v>65</v>
      </c>
      <c r="C14" s="253" t="s">
        <v>100</v>
      </c>
      <c r="D14" s="253" t="s">
        <v>20</v>
      </c>
      <c r="E14" s="254" t="s">
        <v>21</v>
      </c>
      <c r="F14" s="303">
        <v>26.1</v>
      </c>
      <c r="G14" s="304">
        <f t="shared" si="0"/>
      </c>
      <c r="H14" s="229">
        <f t="shared" si="1"/>
        <v>26.1</v>
      </c>
      <c r="I14" s="230">
        <f t="shared" si="2"/>
        <v>4</v>
      </c>
      <c r="J14" s="231">
        <f t="shared" si="3"/>
      </c>
      <c r="K14" s="232">
        <f t="shared" si="4"/>
        <v>4</v>
      </c>
      <c r="L14" s="55">
        <v>24.26</v>
      </c>
      <c r="M14" s="229">
        <f t="shared" si="5"/>
      </c>
      <c r="N14" s="229">
        <f t="shared" si="6"/>
        <v>24.26</v>
      </c>
      <c r="O14" s="230">
        <f t="shared" si="7"/>
        <v>4</v>
      </c>
      <c r="P14" s="231">
        <f t="shared" si="8"/>
      </c>
      <c r="Q14" s="232">
        <f t="shared" si="9"/>
        <v>4</v>
      </c>
      <c r="R14" s="53">
        <v>0</v>
      </c>
      <c r="S14" s="231">
        <f t="shared" si="10"/>
      </c>
      <c r="T14" s="231">
        <f t="shared" si="11"/>
        <v>0</v>
      </c>
      <c r="U14" s="230">
        <f t="shared" si="12"/>
        <v>1</v>
      </c>
      <c r="V14" s="231">
        <f t="shared" si="13"/>
      </c>
      <c r="W14" s="232">
        <f t="shared" si="14"/>
        <v>1</v>
      </c>
      <c r="X14" s="233"/>
      <c r="Y14" s="234">
        <f t="shared" si="15"/>
        <v>9</v>
      </c>
      <c r="Z14" s="230">
        <f t="shared" si="16"/>
      </c>
      <c r="AA14" s="235">
        <f t="shared" si="17"/>
        <v>9</v>
      </c>
      <c r="AB14" s="233"/>
      <c r="AC14" s="236">
        <f t="shared" si="18"/>
        <v>4</v>
      </c>
      <c r="AD14" s="233"/>
      <c r="AE14" s="237">
        <f t="shared" si="19"/>
      </c>
      <c r="AF14" s="238"/>
      <c r="AG14" s="237">
        <f t="shared" si="20"/>
        <v>4</v>
      </c>
    </row>
    <row r="15" spans="1:33" ht="12.75">
      <c r="A15" s="33"/>
      <c r="B15" s="239">
        <v>67</v>
      </c>
      <c r="C15" s="252"/>
      <c r="D15" s="252"/>
      <c r="E15" s="255"/>
      <c r="F15" s="305"/>
      <c r="G15" s="306">
        <f t="shared" si="0"/>
      </c>
      <c r="H15" s="242">
        <f t="shared" si="1"/>
      </c>
      <c r="I15" s="243">
        <f t="shared" si="2"/>
        <v>6</v>
      </c>
      <c r="J15" s="244">
        <f t="shared" si="3"/>
      </c>
      <c r="K15" s="245">
        <f t="shared" si="4"/>
      </c>
      <c r="L15" s="46" t="s">
        <v>25</v>
      </c>
      <c r="M15" s="242">
        <f t="shared" si="5"/>
      </c>
      <c r="N15" s="242">
        <f t="shared" si="6"/>
      </c>
      <c r="O15" s="243">
        <f t="shared" si="7"/>
        <v>6</v>
      </c>
      <c r="P15" s="244">
        <f t="shared" si="8"/>
      </c>
      <c r="Q15" s="245">
        <f t="shared" si="9"/>
      </c>
      <c r="R15" s="64">
        <v>15</v>
      </c>
      <c r="S15" s="244">
        <f t="shared" si="10"/>
      </c>
      <c r="T15" s="244">
        <f t="shared" si="11"/>
      </c>
      <c r="U15" s="243">
        <f t="shared" si="12"/>
        <v>7</v>
      </c>
      <c r="V15" s="244">
        <f t="shared" si="13"/>
      </c>
      <c r="W15" s="245">
        <f t="shared" si="14"/>
      </c>
      <c r="X15" s="246"/>
      <c r="Y15" s="247">
        <f t="shared" si="15"/>
        <v>19</v>
      </c>
      <c r="Z15" s="243">
        <f t="shared" si="16"/>
      </c>
      <c r="AA15" s="248">
        <f t="shared" si="17"/>
      </c>
      <c r="AB15" s="246"/>
      <c r="AC15" s="249">
        <f t="shared" si="18"/>
        <v>7</v>
      </c>
      <c r="AD15" s="246"/>
      <c r="AE15" s="250">
        <f t="shared" si="19"/>
      </c>
      <c r="AF15" s="251"/>
      <c r="AG15" s="250">
        <f t="shared" si="20"/>
      </c>
    </row>
    <row r="16" spans="1:33" ht="12.75">
      <c r="A16" s="33"/>
      <c r="B16" s="69">
        <v>68</v>
      </c>
      <c r="C16" s="307" t="s">
        <v>103</v>
      </c>
      <c r="D16" s="307" t="s">
        <v>27</v>
      </c>
      <c r="E16" s="308" t="s">
        <v>21</v>
      </c>
      <c r="F16" s="309">
        <v>24.09</v>
      </c>
      <c r="G16" s="310">
        <f t="shared" si="0"/>
      </c>
      <c r="H16" s="311">
        <f t="shared" si="1"/>
        <v>24.09</v>
      </c>
      <c r="I16" s="312">
        <f t="shared" si="2"/>
        <v>2</v>
      </c>
      <c r="J16" s="313">
        <f t="shared" si="3"/>
      </c>
      <c r="K16" s="314">
        <f t="shared" si="4"/>
        <v>2</v>
      </c>
      <c r="L16" s="76">
        <v>21.82</v>
      </c>
      <c r="M16" s="311">
        <f t="shared" si="5"/>
      </c>
      <c r="N16" s="311">
        <f t="shared" si="6"/>
        <v>21.82</v>
      </c>
      <c r="O16" s="312">
        <f t="shared" si="7"/>
        <v>2</v>
      </c>
      <c r="P16" s="313">
        <f t="shared" si="8"/>
      </c>
      <c r="Q16" s="314">
        <f t="shared" si="9"/>
        <v>2</v>
      </c>
      <c r="R16" s="74">
        <v>0</v>
      </c>
      <c r="S16" s="313">
        <f t="shared" si="10"/>
      </c>
      <c r="T16" s="313">
        <f t="shared" si="11"/>
        <v>0</v>
      </c>
      <c r="U16" s="312">
        <f t="shared" si="12"/>
        <v>1</v>
      </c>
      <c r="V16" s="313">
        <f t="shared" si="13"/>
      </c>
      <c r="W16" s="314">
        <f t="shared" si="14"/>
        <v>1</v>
      </c>
      <c r="X16" s="315"/>
      <c r="Y16" s="316">
        <f t="shared" si="15"/>
        <v>5</v>
      </c>
      <c r="Z16" s="312">
        <f t="shared" si="16"/>
      </c>
      <c r="AA16" s="317">
        <f t="shared" si="17"/>
        <v>5</v>
      </c>
      <c r="AB16" s="315"/>
      <c r="AC16" s="318">
        <f t="shared" si="18"/>
        <v>2</v>
      </c>
      <c r="AD16" s="315"/>
      <c r="AE16" s="319">
        <f t="shared" si="19"/>
      </c>
      <c r="AF16" s="320"/>
      <c r="AG16" s="319">
        <f t="shared" si="20"/>
        <v>2</v>
      </c>
    </row>
  </sheetData>
  <sheetProtection selectLockedCells="1" selectUnlockedCells="1"/>
  <mergeCells count="19">
    <mergeCell ref="B2:AC2"/>
    <mergeCell ref="C4:F4"/>
    <mergeCell ref="K4:Y4"/>
    <mergeCell ref="F6:K6"/>
    <mergeCell ref="L6:P6"/>
    <mergeCell ref="R6:W6"/>
    <mergeCell ref="B7:B8"/>
    <mergeCell ref="C7:C8"/>
    <mergeCell ref="D7:D8"/>
    <mergeCell ref="E7:E8"/>
    <mergeCell ref="F7:K7"/>
    <mergeCell ref="L7:P7"/>
    <mergeCell ref="R7:W7"/>
    <mergeCell ref="Y7:Y8"/>
    <mergeCell ref="Z7:Z8"/>
    <mergeCell ref="AA7:AA8"/>
    <mergeCell ref="AC7:AC8"/>
    <mergeCell ref="AE7:AE8"/>
    <mergeCell ref="AG7:AG8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2010-05-17T23:16:38Z</dcterms:modified>
  <cp:category/>
  <cp:version/>
  <cp:contentType/>
  <cp:contentStatus/>
  <cp:revision>2</cp:revision>
</cp:coreProperties>
</file>